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11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2-2024" sheetId="12" r:id="rId12"/>
  </sheets>
  <definedNames>
    <definedName name="_xlnm.Print_Area" localSheetId="11">'Дотация 2022-2024'!$A$1:$H$15</definedName>
    <definedName name="_xlnm.Print_Area" localSheetId="4">'ИБР'!$A$1:$R$19</definedName>
    <definedName name="_xlnm.Print_Area" localSheetId="2">'Коэф.дисп'!$A$1:$E$95</definedName>
    <definedName name="_xlnm.Print_Area" localSheetId="0">'Налоговый потен'!$A$1:$M$17</definedName>
  </definedNames>
  <calcPr fullCalcOnLoad="1"/>
</workbook>
</file>

<file path=xl/sharedStrings.xml><?xml version="1.0" encoding="utf-8"?>
<sst xmlns="http://schemas.openxmlformats.org/spreadsheetml/2006/main" count="416" uniqueCount="198">
  <si>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</si>
  <si>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</si>
  <si>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</si>
  <si>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</si>
  <si>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</si>
  <si>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</si>
  <si>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</si>
  <si>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</si>
  <si>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</si>
  <si>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</si>
  <si>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</si>
  <si>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</si>
  <si>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</si>
  <si>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</si>
  <si>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</si>
  <si>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</si>
  <si>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</si>
  <si>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</si>
  <si>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</si>
  <si>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</si>
  <si>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</si>
  <si>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</si>
  <si>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</si>
  <si>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</si>
  <si>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</si>
  <si>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</si>
  <si>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</si>
  <si>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</si>
  <si>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</si>
  <si>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</si>
  <si>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</si>
  <si>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</si>
  <si>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</si>
  <si>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</si>
  <si>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</si>
  <si>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</si>
  <si>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</si>
  <si>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</si>
  <si>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</si>
  <si>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</si>
  <si>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</si>
  <si>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</si>
  <si>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</si>
  <si>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</si>
  <si>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</si>
  <si>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</si>
  <si>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</si>
  <si>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</si>
  <si>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</si>
  <si>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</si>
  <si>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</si>
  <si>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</si>
  <si>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</si>
  <si>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</si>
  <si>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</si>
  <si>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</si>
  <si>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</si>
  <si>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</si>
  <si>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</si>
  <si>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</si>
  <si>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</si>
  <si>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</si>
  <si>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</si>
  <si>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</si>
  <si>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</si>
  <si>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</si>
  <si>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ЖКХ</t>
  </si>
  <si>
    <t>Коэффициент масштаба</t>
  </si>
  <si>
    <t>ВСЕГО по району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</si>
  <si>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</si>
  <si>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</si>
  <si>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</si>
  <si>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</si>
  <si>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</si>
  <si>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</si>
  <si>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</si>
  <si>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</si>
  <si>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</si>
  <si>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</si>
  <si>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</si>
  <si>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</si>
  <si>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</si>
  <si>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</si>
  <si>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</si>
  <si>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</si>
  <si>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</si>
  <si>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</si>
  <si>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</si>
  <si>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</si>
  <si>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</si>
  <si>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</si>
  <si>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</si>
  <si>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</si>
  <si>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</si>
  <si>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</si>
  <si>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</si>
  <si>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</si>
  <si>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</si>
  <si>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</si>
  <si>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</si>
  <si>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</si>
  <si>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</si>
  <si>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</si>
  <si>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</si>
  <si>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 учетом налогового потенциала и  субвенций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</si>
  <si>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</si>
  <si>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</si>
  <si>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</si>
  <si>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</si>
  <si>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</si>
  <si>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У2</t>
  </si>
  <si>
    <t>с учетом налогового потенциала, первой, второй части дотации и субвенций</t>
  </si>
  <si>
    <t>Прогноз налоговых, неналоговых доходов, субвенций, 1 части дотации ПДпмр</t>
  </si>
  <si>
    <t>Всего дотации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</si>
  <si>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</si>
  <si>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</si>
  <si>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2018г.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</si>
  <si>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</si>
  <si>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</si>
  <si>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</si>
  <si>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</si>
  <si>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</si>
  <si>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</si>
  <si>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</si>
  <si>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</si>
  <si>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Всего за 3 года</t>
  </si>
  <si>
    <t>Средняя за 3 года</t>
  </si>
  <si>
    <t>степень отставания 0,1</t>
  </si>
  <si>
    <t>2018 год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</si>
  <si>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</si>
  <si>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</si>
  <si>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</si>
  <si>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</si>
  <si>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</si>
  <si>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</si>
  <si>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Содержание пожарных депо</t>
  </si>
  <si>
    <t>Итого расходов</t>
  </si>
  <si>
    <t>2020 год</t>
  </si>
  <si>
    <t>2022 год</t>
  </si>
  <si>
    <t>2021 год</t>
  </si>
  <si>
    <t>2019 год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</si>
  <si>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</si>
  <si>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</si>
  <si>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</si>
  <si>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</si>
  <si>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</si>
  <si>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</si>
  <si>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</si>
  <si>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</si>
  <si>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</si>
  <si>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</si>
  <si>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</si>
  <si>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</si>
  <si>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</si>
  <si>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</si>
  <si>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</si>
  <si>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№ п/п</t>
  </si>
  <si>
    <t>тыс.руб.</t>
  </si>
  <si>
    <t>Расходы, тыс.руб.</t>
  </si>
  <si>
    <t>Сумма дотации из субвенций на 2022 год (тыс.руб.)</t>
  </si>
  <si>
    <t>Сумма дотации из субвенций на 2023 год (тыс.руб.)</t>
  </si>
  <si>
    <t>2021г.</t>
  </si>
  <si>
    <t>Земельный налог</t>
  </si>
  <si>
    <t>Тыс.руб.</t>
  </si>
  <si>
    <t>2023 год</t>
  </si>
  <si>
    <t>Расчет налогового потенциала поселений, расположенных на территории муниципального образования «Мелекесский район» Ульяновской области на 2022 год</t>
  </si>
  <si>
    <t xml:space="preserve">НДФЛ план на 01.10.2021г </t>
  </si>
  <si>
    <t>Зем налог план на 01.10.2021</t>
  </si>
  <si>
    <t>НП зем налог на 2022г</t>
  </si>
  <si>
    <t>План на 01.10.2021</t>
  </si>
  <si>
    <t>НП на 2022г.</t>
  </si>
  <si>
    <t>ВСЕГО НП на 2022г.</t>
  </si>
  <si>
    <t>НП ндфл на 2022г. (=ПДпосел конс*Норм*(Бнпос/Бнконс пос)</t>
  </si>
  <si>
    <t>Расчет коэффициента масштаба по поселениям, расположенным на территории муниципального образования «Мелекесский район» Ульяновской области на 2022 год</t>
  </si>
  <si>
    <t>Расчет коэффициента дисперсности по поселениям, расположенным на территории муниципального образования «Мелекесский район» Ульяновской области на 2022 год</t>
  </si>
  <si>
    <t>Количество жителей на 01.01.2021г.</t>
  </si>
  <si>
    <t>Определение доли расходов на 2022 год исходя из фактического расхода без субвенций и субсидий</t>
  </si>
  <si>
    <t xml:space="preserve">Расчет индекса бюджетных расходов поселений, расположенных на территории муниципального образования «Мелекесский район» Ульяновской области на 2022 год </t>
  </si>
  <si>
    <t xml:space="preserve">Уровень расчетной бюджетной обеспеченности поселений, расположенных на территории муниципального образования «Мелекесский район» Ульяновской области на 2022 год </t>
  </si>
  <si>
    <t>Расчет доходного потенциала поселений, расположенных на территории муниципального образования «Мелекесский район» Ульяновской области на 2022 год</t>
  </si>
  <si>
    <t>Расчет индекса доходного потенциала поселений, расположенных на территории муниципального образования «Мелекесский район» Ульяновской области на 2022 год</t>
  </si>
  <si>
    <t>Расчет дотации из районного фонда финансовой поддержки поселений за счет субвенций из областного фонда компенсаций на 2022-2024 годы</t>
  </si>
  <si>
    <t>Сумма дотации из субвенций на 2024 год (тыс.руб.)</t>
  </si>
  <si>
    <t>Расчет дотации из фонда финансовой поддержки поселений, расположенных на территории муниципального образования «Мелекесский район» Ульяновской области на 2022 год</t>
  </si>
  <si>
    <t>Налоговый потенциал на 2022г.</t>
  </si>
  <si>
    <t>Прогноз собственных доходов на 2022г.</t>
  </si>
  <si>
    <t>Всего дотации из местного бюджета на 2022г.</t>
  </si>
  <si>
    <t>Дотация из районного фонда финансовой поддержки поселений, расположенных на территории муниципального образования «Мелекесский район» Ульяновской области на 2022 год</t>
  </si>
  <si>
    <t>2022г.</t>
  </si>
  <si>
    <t>РФФПП 2022г.</t>
  </si>
  <si>
    <t>Прогнозные показатели дотации на выравнивание бюджетной обеспеченности поселений Мелекесского района на 2022-2024 годы</t>
  </si>
  <si>
    <t>2024 год</t>
  </si>
  <si>
    <t>СВОД Фактические расходы бюджета за счет собственных средств (без субвенций, субсидий и межбюджетных трансфертов)</t>
  </si>
  <si>
    <r>
      <t>ИБР (гр6*гр7*гр8/гр6)/(гр6мр*гр7мр*гр8мр/г6мр))* *</t>
    </r>
    <r>
      <rPr>
        <b/>
        <sz val="10"/>
        <color indexed="10"/>
        <rFont val="PT Astra Serif"/>
        <family val="1"/>
      </rPr>
      <t>13,8</t>
    </r>
    <r>
      <rPr>
        <b/>
        <sz val="10"/>
        <rFont val="PT Astra Serif"/>
        <family val="1"/>
      </rPr>
      <t>/100</t>
    </r>
  </si>
  <si>
    <t>Всего дотации из областного и местного бюджетов на 2022г.</t>
  </si>
  <si>
    <r>
      <t>ИБР ((гр3*гр4/гр3)/(гр3мр*гр4мр/гр3мр))*</t>
    </r>
    <r>
      <rPr>
        <b/>
        <sz val="10"/>
        <color indexed="10"/>
        <rFont val="PT Astra Serif"/>
        <family val="1"/>
      </rPr>
      <t>25,5</t>
    </r>
    <r>
      <rPr>
        <b/>
        <sz val="10"/>
        <rFont val="PT Astra Serif"/>
        <family val="1"/>
      </rPr>
      <t>/100</t>
    </r>
  </si>
  <si>
    <r>
      <t xml:space="preserve">ИБР (на </t>
    </r>
    <r>
      <rPr>
        <b/>
        <sz val="10"/>
        <color indexed="10"/>
        <rFont val="PT Astra Serif"/>
        <family val="1"/>
      </rPr>
      <t>14,7</t>
    </r>
    <r>
      <rPr>
        <b/>
        <sz val="10"/>
        <rFont val="PT Astra Serif"/>
        <family val="1"/>
      </rPr>
      <t xml:space="preserve"> %)</t>
    </r>
  </si>
  <si>
    <r>
      <t>ИБР (</t>
    </r>
    <r>
      <rPr>
        <b/>
        <sz val="10"/>
        <color indexed="10"/>
        <rFont val="PT Astra Serif"/>
        <family val="1"/>
      </rPr>
      <t>46,0</t>
    </r>
    <r>
      <rPr>
        <b/>
        <sz val="10"/>
        <rFont val="PT Astra Serif"/>
        <family val="1"/>
      </rPr>
      <t>%)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</si>
</sst>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  <numFmt numFmtId="185" formatCode="0.00000000000000"/>
    <numFmt numFmtId="186" formatCode="#,##0.0000000000000"/>
    <numFmt numFmtId="187" formatCode="#,##0.00000"/>
    <numFmt numFmtId="188" formatCode="0.00000000000"/>
    <numFmt numFmtId="189" formatCode="0.0000000000000"/>
    <numFmt numFmtId="190" formatCode="#,##0.00000000000"/>
    <numFmt numFmtId="191" formatCode="0.00000"/>
    <numFmt numFmtId="192" formatCode="#,##0.000000000000"/>
    <numFmt numFmtId="193" formatCode="#,##0.000000"/>
    <numFmt numFmtId="194" formatCode="#,##0.000000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i/>
      <u val="single"/>
      <sz val="10"/>
      <name val="PT Astra Serif"/>
      <family val="1"/>
    </font>
    <font>
      <b/>
      <sz val="10"/>
      <color indexed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PT Astra Serif"/>
      <family val="1"/>
    </font>
    <font>
      <sz val="10"/>
      <color indexed="8"/>
      <name val="PT Astra Serif"/>
      <family val="1"/>
    </font>
    <font>
      <sz val="10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PT Astra Serif"/>
      <family val="1"/>
    </font>
    <font>
      <sz val="10"/>
      <color rgb="FF000000"/>
      <name val="PT Astra Serif"/>
      <family val="1"/>
    </font>
    <font>
      <sz val="10"/>
      <color rgb="FFFF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84" fontId="6" fillId="33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/>
    </xf>
    <xf numFmtId="184" fontId="6" fillId="35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7" fillId="34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6" borderId="10" xfId="0" applyNumberFormat="1" applyFont="1" applyFill="1" applyBorder="1" applyAlignment="1">
      <alignment/>
    </xf>
    <xf numFmtId="184" fontId="5" fillId="33" borderId="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8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6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84" fontId="5" fillId="36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1" fontId="6" fillId="33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84" fontId="6" fillId="33" borderId="0" xfId="0" applyNumberFormat="1" applyFont="1" applyFill="1" applyAlignment="1">
      <alignment/>
    </xf>
    <xf numFmtId="184" fontId="49" fillId="3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4" fontId="5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173" fontId="6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17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172" fontId="8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17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wrapText="1"/>
    </xf>
    <xf numFmtId="17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wrapText="1"/>
    </xf>
    <xf numFmtId="187" fontId="6" fillId="0" borderId="0" xfId="0" applyNumberFormat="1" applyFont="1" applyAlignment="1">
      <alignment/>
    </xf>
    <xf numFmtId="187" fontId="5" fillId="0" borderId="11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190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5" fillId="8" borderId="10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3" fontId="6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9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4" fontId="6" fillId="0" borderId="0" xfId="0" applyNumberFormat="1" applyFont="1" applyAlignment="1">
      <alignment wrapText="1"/>
    </xf>
    <xf numFmtId="173" fontId="6" fillId="0" borderId="0" xfId="0" applyNumberFormat="1" applyFont="1" applyAlignment="1">
      <alignment wrapText="1"/>
    </xf>
    <xf numFmtId="173" fontId="5" fillId="33" borderId="16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187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84" fontId="5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wrapText="1"/>
    </xf>
    <xf numFmtId="184" fontId="6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6" fillId="33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184" fontId="5" fillId="8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wrapText="1"/>
    </xf>
    <xf numFmtId="184" fontId="5" fillId="0" borderId="10" xfId="0" applyNumberFormat="1" applyFont="1" applyBorder="1" applyAlignment="1">
      <alignment wrapText="1"/>
    </xf>
    <xf numFmtId="187" fontId="6" fillId="0" borderId="0" xfId="0" applyNumberFormat="1" applyFont="1" applyAlignment="1">
      <alignment wrapText="1"/>
    </xf>
    <xf numFmtId="184" fontId="6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4" fontId="51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184" fontId="5" fillId="33" borderId="16" xfId="0" applyNumberFormat="1" applyFont="1" applyFill="1" applyBorder="1" applyAlignment="1">
      <alignment horizontal="center" vertical="top" wrapText="1"/>
    </xf>
    <xf numFmtId="184" fontId="5" fillId="33" borderId="17" xfId="0" applyNumberFormat="1" applyFont="1" applyFill="1" applyBorder="1" applyAlignment="1">
      <alignment horizontal="center" vertical="top" wrapText="1"/>
    </xf>
    <xf numFmtId="184" fontId="5" fillId="33" borderId="18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7" xfId="0" applyNumberFormat="1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73" fontId="5" fillId="33" borderId="10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875" style="26" customWidth="1"/>
    <col min="2" max="2" width="23.25390625" style="26" customWidth="1"/>
    <col min="3" max="13" width="12.00390625" style="26" customWidth="1"/>
    <col min="14" max="16384" width="9.125" style="26" customWidth="1"/>
  </cols>
  <sheetData>
    <row r="1" spans="12:13" ht="15.75">
      <c r="L1" s="33"/>
      <c r="M1" s="33" t="s">
        <v>141</v>
      </c>
    </row>
    <row r="2" ht="23.25" customHeight="1"/>
    <row r="3" spans="1:13" ht="38.25" customHeight="1">
      <c r="A3" s="34"/>
      <c r="B3" s="216" t="s">
        <v>165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4"/>
    </row>
    <row r="4" ht="30" customHeight="1">
      <c r="M4" s="26" t="s">
        <v>163</v>
      </c>
    </row>
    <row r="5" spans="1:13" s="28" customFormat="1" ht="12.75">
      <c r="A5" s="218" t="s">
        <v>0</v>
      </c>
      <c r="B5" s="221" t="s">
        <v>1</v>
      </c>
      <c r="C5" s="218" t="s">
        <v>87</v>
      </c>
      <c r="D5" s="218"/>
      <c r="E5" s="218"/>
      <c r="F5" s="218"/>
      <c r="G5" s="218" t="s">
        <v>162</v>
      </c>
      <c r="H5" s="218"/>
      <c r="I5" s="218"/>
      <c r="J5" s="218" t="s">
        <v>88</v>
      </c>
      <c r="K5" s="218"/>
      <c r="L5" s="218"/>
      <c r="M5" s="219" t="s">
        <v>171</v>
      </c>
    </row>
    <row r="6" spans="1:13" s="28" customFormat="1" ht="88.5" customHeight="1">
      <c r="A6" s="218"/>
      <c r="B6" s="222"/>
      <c r="C6" s="18" t="s">
        <v>166</v>
      </c>
      <c r="D6" s="18" t="s">
        <v>115</v>
      </c>
      <c r="E6" s="18" t="s">
        <v>89</v>
      </c>
      <c r="F6" s="18" t="s">
        <v>172</v>
      </c>
      <c r="G6" s="18" t="s">
        <v>167</v>
      </c>
      <c r="H6" s="18" t="s">
        <v>89</v>
      </c>
      <c r="I6" s="18" t="s">
        <v>168</v>
      </c>
      <c r="J6" s="29" t="s">
        <v>169</v>
      </c>
      <c r="K6" s="18" t="s">
        <v>89</v>
      </c>
      <c r="L6" s="29" t="s">
        <v>170</v>
      </c>
      <c r="M6" s="219"/>
    </row>
    <row r="7" spans="1:13" ht="25.5" customHeight="1">
      <c r="A7" s="30">
        <v>1</v>
      </c>
      <c r="B7" s="31" t="s">
        <v>117</v>
      </c>
      <c r="C7" s="4">
        <v>6495</v>
      </c>
      <c r="D7" s="35">
        <v>15</v>
      </c>
      <c r="E7" s="35">
        <f>C7/C15</f>
        <v>0.3162892622352082</v>
      </c>
      <c r="F7" s="4">
        <f>F15*E7</f>
        <v>7116.508400292185</v>
      </c>
      <c r="G7" s="4">
        <v>3400</v>
      </c>
      <c r="H7" s="35">
        <f>G7/G15</f>
        <v>0.11643835616438356</v>
      </c>
      <c r="I7" s="4">
        <f>I15*H7</f>
        <v>3400</v>
      </c>
      <c r="J7" s="4">
        <v>810</v>
      </c>
      <c r="K7" s="35">
        <f>J7/J15</f>
        <v>0.1975609756097561</v>
      </c>
      <c r="L7" s="4">
        <f>L15*K7</f>
        <v>958.1707317073171</v>
      </c>
      <c r="M7" s="10">
        <f>+F7+I7+L7</f>
        <v>11474.679131999503</v>
      </c>
    </row>
    <row r="8" spans="1:13" ht="25.5" customHeight="1">
      <c r="A8" s="30">
        <v>2</v>
      </c>
      <c r="B8" s="31" t="s">
        <v>118</v>
      </c>
      <c r="C8" s="4">
        <v>4650</v>
      </c>
      <c r="D8" s="35">
        <v>15</v>
      </c>
      <c r="E8" s="35">
        <f>C8/C15</f>
        <v>0.2264426588750913</v>
      </c>
      <c r="F8" s="4">
        <f>F15*E8</f>
        <v>5094.959824689554</v>
      </c>
      <c r="G8" s="4">
        <v>2600</v>
      </c>
      <c r="H8" s="35">
        <f>G8/G15</f>
        <v>0.08904109589041095</v>
      </c>
      <c r="I8" s="4">
        <f>I15*H8</f>
        <v>2600</v>
      </c>
      <c r="J8" s="4">
        <v>690</v>
      </c>
      <c r="K8" s="35">
        <f>J8/J15</f>
        <v>0.16829268292682928</v>
      </c>
      <c r="L8" s="4">
        <f>L15*K8</f>
        <v>816.219512195122</v>
      </c>
      <c r="M8" s="10">
        <f aca="true" t="shared" si="0" ref="M8:M14">+F8+I8+L8</f>
        <v>8511.179336884676</v>
      </c>
    </row>
    <row r="9" spans="1:13" ht="25.5" customHeight="1">
      <c r="A9" s="30">
        <v>3</v>
      </c>
      <c r="B9" s="31" t="s">
        <v>119</v>
      </c>
      <c r="C9" s="4">
        <v>800</v>
      </c>
      <c r="D9" s="35">
        <v>7</v>
      </c>
      <c r="E9" s="35">
        <f>C9/C15</f>
        <v>0.038957876795714635</v>
      </c>
      <c r="F9" s="4">
        <f>F15*E9</f>
        <v>876.5522279035793</v>
      </c>
      <c r="G9" s="4">
        <v>3600</v>
      </c>
      <c r="H9" s="35">
        <f>G9/G15</f>
        <v>0.1232876712328767</v>
      </c>
      <c r="I9" s="4">
        <f>I15*H9</f>
        <v>3600</v>
      </c>
      <c r="J9" s="4">
        <v>610</v>
      </c>
      <c r="K9" s="35">
        <f>J9/J15</f>
        <v>0.14878048780487804</v>
      </c>
      <c r="L9" s="4">
        <f>L15*K9</f>
        <v>721.5853658536585</v>
      </c>
      <c r="M9" s="10">
        <f t="shared" si="0"/>
        <v>5198.1375937572375</v>
      </c>
    </row>
    <row r="10" spans="1:13" ht="25.5" customHeight="1">
      <c r="A10" s="30">
        <v>4</v>
      </c>
      <c r="B10" s="31" t="s">
        <v>120</v>
      </c>
      <c r="C10" s="4">
        <v>680</v>
      </c>
      <c r="D10" s="35">
        <v>7</v>
      </c>
      <c r="E10" s="35">
        <f>C10/C15</f>
        <v>0.033114195276357436</v>
      </c>
      <c r="F10" s="4">
        <f>F15*E10</f>
        <v>745.0693937180423</v>
      </c>
      <c r="G10" s="4">
        <v>1950</v>
      </c>
      <c r="H10" s="35">
        <f>G10/G15</f>
        <v>0.06678082191780822</v>
      </c>
      <c r="I10" s="4">
        <f>I15*H10</f>
        <v>1950</v>
      </c>
      <c r="J10" s="4">
        <v>240</v>
      </c>
      <c r="K10" s="35">
        <f>J10/J15</f>
        <v>0.05853658536585366</v>
      </c>
      <c r="L10" s="4">
        <f>L15*K10</f>
        <v>283.9024390243903</v>
      </c>
      <c r="M10" s="10">
        <f t="shared" si="0"/>
        <v>2978.9718327424325</v>
      </c>
    </row>
    <row r="11" spans="1:13" ht="25.5" customHeight="1">
      <c r="A11" s="30">
        <v>5</v>
      </c>
      <c r="B11" s="31" t="s">
        <v>121</v>
      </c>
      <c r="C11" s="4">
        <v>1250</v>
      </c>
      <c r="D11" s="35">
        <v>7</v>
      </c>
      <c r="E11" s="35">
        <f>C11/C15</f>
        <v>0.060871682493304116</v>
      </c>
      <c r="F11" s="4">
        <f>F15*E11</f>
        <v>1369.6128560993427</v>
      </c>
      <c r="G11" s="4">
        <v>4050</v>
      </c>
      <c r="H11" s="35">
        <f>G11/G15</f>
        <v>0.1386986301369863</v>
      </c>
      <c r="I11" s="4">
        <f>I15*H11</f>
        <v>4050</v>
      </c>
      <c r="J11" s="4">
        <v>450</v>
      </c>
      <c r="K11" s="35">
        <f>J11/J15</f>
        <v>0.10975609756097561</v>
      </c>
      <c r="L11" s="4">
        <f>L15*K11</f>
        <v>532.3170731707318</v>
      </c>
      <c r="M11" s="10">
        <f t="shared" si="0"/>
        <v>5951.929929270074</v>
      </c>
    </row>
    <row r="12" spans="1:13" ht="25.5" customHeight="1">
      <c r="A12" s="30">
        <v>6</v>
      </c>
      <c r="B12" s="31" t="s">
        <v>122</v>
      </c>
      <c r="C12" s="4">
        <v>2650</v>
      </c>
      <c r="D12" s="35">
        <v>7</v>
      </c>
      <c r="E12" s="35">
        <f>C12/C15</f>
        <v>0.12904796688580472</v>
      </c>
      <c r="F12" s="4">
        <f>F15*E12</f>
        <v>2903.579254930606</v>
      </c>
      <c r="G12" s="4">
        <v>7850</v>
      </c>
      <c r="H12" s="35">
        <f>G12/G15</f>
        <v>0.2688356164383562</v>
      </c>
      <c r="I12" s="4">
        <f>I15*H12</f>
        <v>7850.000000000001</v>
      </c>
      <c r="J12" s="4">
        <v>600</v>
      </c>
      <c r="K12" s="35">
        <f>J12/J15</f>
        <v>0.14634146341463414</v>
      </c>
      <c r="L12" s="4">
        <f>L15*K12</f>
        <v>709.7560975609756</v>
      </c>
      <c r="M12" s="10">
        <f t="shared" si="0"/>
        <v>11463.335352491582</v>
      </c>
    </row>
    <row r="13" spans="1:13" ht="25.5" customHeight="1">
      <c r="A13" s="30">
        <v>7</v>
      </c>
      <c r="B13" s="31" t="s">
        <v>123</v>
      </c>
      <c r="C13" s="4">
        <v>560</v>
      </c>
      <c r="D13" s="35">
        <v>7</v>
      </c>
      <c r="E13" s="35">
        <f>C13/C15</f>
        <v>0.027270513757000243</v>
      </c>
      <c r="F13" s="4">
        <f>F15*E13</f>
        <v>613.5865595325055</v>
      </c>
      <c r="G13" s="4">
        <v>1850</v>
      </c>
      <c r="H13" s="35">
        <f>G13/G15</f>
        <v>0.06335616438356165</v>
      </c>
      <c r="I13" s="4">
        <f>I15*H13</f>
        <v>1850</v>
      </c>
      <c r="J13" s="4">
        <v>220</v>
      </c>
      <c r="K13" s="35">
        <f>J13/J15</f>
        <v>0.05365853658536585</v>
      </c>
      <c r="L13" s="4">
        <f>L15*K13</f>
        <v>260.2439024390244</v>
      </c>
      <c r="M13" s="10">
        <f t="shared" si="0"/>
        <v>2723.83046197153</v>
      </c>
    </row>
    <row r="14" spans="1:13" ht="25.5" customHeight="1">
      <c r="A14" s="30">
        <v>8</v>
      </c>
      <c r="B14" s="31" t="s">
        <v>124</v>
      </c>
      <c r="C14" s="4">
        <v>3450</v>
      </c>
      <c r="D14" s="35">
        <v>7</v>
      </c>
      <c r="E14" s="35">
        <f>C14/C15</f>
        <v>0.16800584368151936</v>
      </c>
      <c r="F14" s="4">
        <f>F15*E14</f>
        <v>3780.1314828341856</v>
      </c>
      <c r="G14" s="4">
        <v>3900</v>
      </c>
      <c r="H14" s="35">
        <f>G14/G15</f>
        <v>0.13356164383561644</v>
      </c>
      <c r="I14" s="4">
        <f>I15*H14</f>
        <v>3900</v>
      </c>
      <c r="J14" s="4">
        <v>480</v>
      </c>
      <c r="K14" s="35">
        <f>J14/J15</f>
        <v>0.11707317073170732</v>
      </c>
      <c r="L14" s="4">
        <f>L15*K14</f>
        <v>567.8048780487806</v>
      </c>
      <c r="M14" s="10">
        <f t="shared" si="0"/>
        <v>8247.936360882966</v>
      </c>
    </row>
    <row r="15" spans="1:13" ht="25.5" customHeight="1">
      <c r="A15" s="30"/>
      <c r="B15" s="3" t="s">
        <v>14</v>
      </c>
      <c r="C15" s="10">
        <f>SUM(C7:C14)</f>
        <v>20535</v>
      </c>
      <c r="D15" s="36"/>
      <c r="E15" s="36">
        <f>E7+E8+E9+E10+E11+E12+E13+E14</f>
        <v>1</v>
      </c>
      <c r="F15" s="10">
        <v>22500</v>
      </c>
      <c r="G15" s="10">
        <f>SUM(G7:G14)</f>
        <v>29200</v>
      </c>
      <c r="H15" s="36">
        <f>SUM(H7:H14)</f>
        <v>0.9999999999999999</v>
      </c>
      <c r="I15" s="10">
        <v>29200</v>
      </c>
      <c r="J15" s="10">
        <f>SUM(J7:J14)</f>
        <v>4100</v>
      </c>
      <c r="K15" s="36">
        <f>SUM(K7:K14)</f>
        <v>1.0000000000000002</v>
      </c>
      <c r="L15" s="10">
        <v>4850</v>
      </c>
      <c r="M15" s="10">
        <f>SUM(M7:M14)</f>
        <v>56550</v>
      </c>
    </row>
    <row r="16" spans="9:13" ht="12.75">
      <c r="I16" s="27"/>
      <c r="M16" s="27"/>
    </row>
    <row r="17" spans="1:13" ht="17.25" customHeight="1">
      <c r="A17" s="217"/>
      <c r="B17" s="217"/>
      <c r="C17" s="217"/>
      <c r="D17" s="32"/>
      <c r="E17" s="220"/>
      <c r="F17" s="220"/>
      <c r="G17" s="220"/>
      <c r="K17" s="220"/>
      <c r="L17" s="220"/>
      <c r="M17" s="220"/>
    </row>
  </sheetData>
  <sheetProtection/>
  <mergeCells count="10">
    <mergeCell ref="B3:L3"/>
    <mergeCell ref="A17:C17"/>
    <mergeCell ref="J5:L5"/>
    <mergeCell ref="M5:M6"/>
    <mergeCell ref="E17:G17"/>
    <mergeCell ref="K17:M17"/>
    <mergeCell ref="A5:A6"/>
    <mergeCell ref="B5:B6"/>
    <mergeCell ref="C5:F5"/>
    <mergeCell ref="G5:I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zoomScale="90" zoomScaleNormal="9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8" sqref="F8"/>
    </sheetView>
  </sheetViews>
  <sheetFormatPr defaultColWidth="9.00390625" defaultRowHeight="12.75"/>
  <cols>
    <col min="1" max="1" width="3.625" style="37" customWidth="1"/>
    <col min="2" max="2" width="19.00390625" style="37" customWidth="1"/>
    <col min="3" max="3" width="12.25390625" style="37" customWidth="1"/>
    <col min="4" max="4" width="12.375" style="37" customWidth="1"/>
    <col min="5" max="5" width="12.75390625" style="74" customWidth="1"/>
    <col min="6" max="6" width="12.375" style="165" customWidth="1"/>
    <col min="7" max="7" width="12.00390625" style="127" customWidth="1"/>
    <col min="8" max="8" width="10.875" style="127" customWidth="1"/>
    <col min="9" max="9" width="16.125" style="37" customWidth="1"/>
    <col min="10" max="10" width="16.75390625" style="166" customWidth="1"/>
    <col min="11" max="11" width="11.125" style="102" customWidth="1"/>
    <col min="12" max="12" width="13.375" style="102" customWidth="1"/>
    <col min="13" max="13" width="16.75390625" style="102" customWidth="1"/>
    <col min="14" max="14" width="13.875" style="102" customWidth="1"/>
    <col min="15" max="15" width="16.75390625" style="167" bestFit="1" customWidth="1"/>
    <col min="16" max="16" width="12.75390625" style="168" customWidth="1"/>
    <col min="17" max="17" width="9.125" style="37" customWidth="1"/>
    <col min="18" max="18" width="12.00390625" style="37" hidden="1" customWidth="1"/>
    <col min="19" max="20" width="0" style="37" hidden="1" customWidth="1"/>
    <col min="21" max="21" width="11.875" style="37" hidden="1" customWidth="1"/>
    <col min="22" max="22" width="10.875" style="37" bestFit="1" customWidth="1"/>
    <col min="23" max="16384" width="9.125" style="37" customWidth="1"/>
  </cols>
  <sheetData>
    <row r="1" spans="5:16" s="15" customFormat="1" ht="15.75">
      <c r="E1" s="106"/>
      <c r="F1" s="178"/>
      <c r="G1" s="138"/>
      <c r="H1" s="138"/>
      <c r="J1" s="179"/>
      <c r="K1" s="134"/>
      <c r="L1" s="134"/>
      <c r="M1" s="134"/>
      <c r="N1" s="134"/>
      <c r="O1" s="180"/>
      <c r="P1" s="134" t="s">
        <v>150</v>
      </c>
    </row>
    <row r="2" spans="1:16" s="15" customFormat="1" ht="68.25" customHeight="1">
      <c r="A2" s="240" t="s">
        <v>183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ht="13.5" customHeight="1">
      <c r="O3" s="165"/>
    </row>
    <row r="4" spans="1:16" s="50" customFormat="1" ht="186" customHeight="1">
      <c r="A4" s="49" t="s">
        <v>0</v>
      </c>
      <c r="B4" s="49" t="s">
        <v>1</v>
      </c>
      <c r="C4" s="141" t="s">
        <v>12</v>
      </c>
      <c r="D4" s="141" t="s">
        <v>184</v>
      </c>
      <c r="E4" s="156" t="s">
        <v>185</v>
      </c>
      <c r="F4" s="169" t="s">
        <v>85</v>
      </c>
      <c r="G4" s="149" t="s">
        <v>82</v>
      </c>
      <c r="H4" s="149" t="s">
        <v>97</v>
      </c>
      <c r="I4" s="49" t="s">
        <v>106</v>
      </c>
      <c r="J4" s="109" t="s">
        <v>92</v>
      </c>
      <c r="K4" s="117" t="s">
        <v>109</v>
      </c>
      <c r="L4" s="149" t="s">
        <v>112</v>
      </c>
      <c r="M4" s="49" t="s">
        <v>98</v>
      </c>
      <c r="N4" s="52" t="s">
        <v>102</v>
      </c>
      <c r="O4" s="169" t="s">
        <v>186</v>
      </c>
      <c r="P4" s="170" t="s">
        <v>194</v>
      </c>
    </row>
    <row r="5" spans="1:16" ht="12.75">
      <c r="A5" s="85">
        <v>1</v>
      </c>
      <c r="B5" s="85">
        <v>2</v>
      </c>
      <c r="C5" s="85">
        <v>3</v>
      </c>
      <c r="D5" s="85"/>
      <c r="E5" s="176">
        <v>4</v>
      </c>
      <c r="F5" s="177" t="s">
        <v>86</v>
      </c>
      <c r="G5" s="176">
        <v>5</v>
      </c>
      <c r="H5" s="176">
        <v>6</v>
      </c>
      <c r="I5" s="85">
        <v>7</v>
      </c>
      <c r="J5" s="86">
        <v>8</v>
      </c>
      <c r="K5" s="87">
        <v>9</v>
      </c>
      <c r="L5" s="87">
        <v>10</v>
      </c>
      <c r="M5" s="87">
        <v>11</v>
      </c>
      <c r="N5" s="87">
        <v>12</v>
      </c>
      <c r="O5" s="171">
        <v>13</v>
      </c>
      <c r="P5" s="121">
        <v>14</v>
      </c>
    </row>
    <row r="6" spans="1:23" ht="24.75" customHeight="1">
      <c r="A6" s="40">
        <v>1</v>
      </c>
      <c r="B6" s="41" t="s">
        <v>117</v>
      </c>
      <c r="C6" s="181">
        <f>+'Коэф.масшт.'!C5</f>
        <v>6226</v>
      </c>
      <c r="D6" s="204">
        <f>+'Налоговый потен'!M7</f>
        <v>11474.679131999503</v>
      </c>
      <c r="E6" s="205">
        <v>15635.4</v>
      </c>
      <c r="F6" s="206">
        <f>'субв от числ уточ'!D6</f>
        <v>2377.4173371929373</v>
      </c>
      <c r="G6" s="150">
        <f>+ИБР!R7</f>
        <v>1.2705735902621584</v>
      </c>
      <c r="H6" s="150">
        <f>БО!D7</f>
        <v>0.7993463613415013</v>
      </c>
      <c r="I6" s="202">
        <f>(E14/C14)*(H15-H6)*G6*C6</f>
        <v>-3461.6831068818797</v>
      </c>
      <c r="J6" s="207">
        <v>0</v>
      </c>
      <c r="K6" s="123">
        <f>БО!G7</f>
        <v>0.7916293562052767</v>
      </c>
      <c r="L6" s="208">
        <f aca="true" t="shared" si="0" ref="L6:L12">E6+F6+J6</f>
        <v>18012.817337192937</v>
      </c>
      <c r="M6" s="208">
        <f>(L14/C14)*(1-K6)*G6*C6</f>
        <v>4316.6983173036015</v>
      </c>
      <c r="N6" s="207">
        <f>(5000-J14)*M6/M14</f>
        <v>416.89293301943167</v>
      </c>
      <c r="O6" s="206">
        <f aca="true" t="shared" si="1" ref="O6:O13">J6+N6</f>
        <v>416.89293301943167</v>
      </c>
      <c r="P6" s="207">
        <f>F6+O6</f>
        <v>2794.310270212369</v>
      </c>
      <c r="R6" s="158">
        <v>351.29222</v>
      </c>
      <c r="S6" s="158">
        <f>+R6-O6</f>
        <v>-65.60071301943168</v>
      </c>
      <c r="U6" s="184">
        <v>351.2922235789414</v>
      </c>
      <c r="V6" s="158"/>
      <c r="W6" s="212"/>
    </row>
    <row r="7" spans="1:23" ht="24.75" customHeight="1">
      <c r="A7" s="40">
        <v>2</v>
      </c>
      <c r="B7" s="41" t="s">
        <v>118</v>
      </c>
      <c r="C7" s="181">
        <f>+'Коэф.масшт.'!C6</f>
        <v>5566</v>
      </c>
      <c r="D7" s="204">
        <f>+'Налоговый потен'!M8</f>
        <v>8511.179336884676</v>
      </c>
      <c r="E7" s="205">
        <v>12126.6</v>
      </c>
      <c r="F7" s="206">
        <f>'субв от числ уточ'!D7</f>
        <v>2125.394297914534</v>
      </c>
      <c r="G7" s="150">
        <f>+ИБР!R8</f>
        <v>1.2194996788971642</v>
      </c>
      <c r="H7" s="150">
        <f>БО!D8</f>
        <v>0.7153281137384365</v>
      </c>
      <c r="I7" s="202">
        <f>(E14/C14)*(H15-H7)*G7*C7</f>
        <v>-1706.7688204990654</v>
      </c>
      <c r="J7" s="207">
        <v>0</v>
      </c>
      <c r="K7" s="123">
        <f>БО!G8</f>
        <v>0.7084222328903133</v>
      </c>
      <c r="L7" s="208">
        <f t="shared" si="0"/>
        <v>14251.994297914534</v>
      </c>
      <c r="M7" s="208">
        <f>(L14/C14)*(1-K7)*G7*C7</f>
        <v>5183.051477826102</v>
      </c>
      <c r="N7" s="207">
        <f>(5000-J14)*M7/M14</f>
        <v>500.5625535423888</v>
      </c>
      <c r="O7" s="206">
        <f t="shared" si="1"/>
        <v>500.5625535423888</v>
      </c>
      <c r="P7" s="207">
        <f>F7+O7+0.001</f>
        <v>2625.957851456923</v>
      </c>
      <c r="R7" s="158">
        <v>405.44059</v>
      </c>
      <c r="S7" s="158">
        <f>+R7-O7</f>
        <v>-95.12196354238881</v>
      </c>
      <c r="U7" s="184">
        <v>405.4405923935564</v>
      </c>
      <c r="V7" s="158"/>
      <c r="W7" s="212"/>
    </row>
    <row r="8" spans="1:23" ht="24.75" customHeight="1">
      <c r="A8" s="40">
        <v>3</v>
      </c>
      <c r="B8" s="41" t="s">
        <v>119</v>
      </c>
      <c r="C8" s="181">
        <f>+'Коэф.масшт.'!C7</f>
        <v>3986</v>
      </c>
      <c r="D8" s="204">
        <f>+'Налоговый потен'!M9</f>
        <v>5198.1375937572375</v>
      </c>
      <c r="E8" s="205">
        <v>8120</v>
      </c>
      <c r="F8" s="206">
        <f>'субв от числ уточ'!D8</f>
        <v>1522.0664160056294</v>
      </c>
      <c r="G8" s="150">
        <f>+ИБР!R9</f>
        <v>1.693979116592296</v>
      </c>
      <c r="H8" s="150">
        <f>БО!D9</f>
        <v>0.45432386083329657</v>
      </c>
      <c r="I8" s="202">
        <f>(E14/C14)*(H15-H8)*G8*C8</f>
        <v>2206.8629885737964</v>
      </c>
      <c r="J8" s="207">
        <f>I8*0.1</f>
        <v>220.68629885737965</v>
      </c>
      <c r="K8" s="123">
        <f>БО!G9</f>
        <v>0.46471336029994176</v>
      </c>
      <c r="L8" s="208">
        <f t="shared" si="0"/>
        <v>9862.752714863009</v>
      </c>
      <c r="M8" s="208">
        <f>(L14/C14)*(1-K8)*G8*C8</f>
        <v>9465.37826651111</v>
      </c>
      <c r="N8" s="207">
        <f>(5000-J14)*M8/M14</f>
        <v>914.1359941338395</v>
      </c>
      <c r="O8" s="206">
        <f>J8+N8</f>
        <v>1134.8222929912192</v>
      </c>
      <c r="P8" s="207">
        <f>F8+O8</f>
        <v>2656.8887089968484</v>
      </c>
      <c r="R8" s="158">
        <v>1138.35649</v>
      </c>
      <c r="S8" s="158">
        <f aca="true" t="shared" si="2" ref="S8:S14">+R8-O8</f>
        <v>3.534197008780666</v>
      </c>
      <c r="U8" s="184">
        <v>1138.3564885492701</v>
      </c>
      <c r="V8" s="158"/>
      <c r="W8" s="212"/>
    </row>
    <row r="9" spans="1:23" ht="24.75" customHeight="1">
      <c r="A9" s="40">
        <v>4</v>
      </c>
      <c r="B9" s="41" t="s">
        <v>120</v>
      </c>
      <c r="C9" s="181">
        <f>+'Коэф.масшт.'!C8</f>
        <v>1529</v>
      </c>
      <c r="D9" s="204">
        <f>+'Налоговый потен'!M10</f>
        <v>2978.9718327424325</v>
      </c>
      <c r="E9" s="205">
        <v>3036.5</v>
      </c>
      <c r="F9" s="206">
        <f>'субв от числ уточ'!D9</f>
        <v>583.8533743283009</v>
      </c>
      <c r="G9" s="150">
        <f>+ИБР!R10</f>
        <v>2.977316429983785</v>
      </c>
      <c r="H9" s="150">
        <f>БО!D10</f>
        <v>0.35726500013736306</v>
      </c>
      <c r="I9" s="202">
        <f>(E14/C14)*(H15-H9)*G9*C9</f>
        <v>2466.814950956729</v>
      </c>
      <c r="J9" s="207">
        <f>I9*0.1</f>
        <v>246.6814950956729</v>
      </c>
      <c r="K9" s="123">
        <f>БО!G10</f>
        <v>0.37831327970569545</v>
      </c>
      <c r="L9" s="208">
        <f t="shared" si="0"/>
        <v>3867.0348694239738</v>
      </c>
      <c r="M9" s="208">
        <f>(L14/C14)*(1-K9)*G9*C9</f>
        <v>7411.571355678649</v>
      </c>
      <c r="N9" s="207">
        <f>(5000-J14)*M9/M14</f>
        <v>715.7858839395849</v>
      </c>
      <c r="O9" s="206">
        <f t="shared" si="1"/>
        <v>962.4673790352577</v>
      </c>
      <c r="P9" s="207">
        <f>F9+O9-0.001</f>
        <v>1546.3197533635587</v>
      </c>
      <c r="R9" s="158">
        <v>971.68931</v>
      </c>
      <c r="S9" s="158">
        <f t="shared" si="2"/>
        <v>9.221930964742228</v>
      </c>
      <c r="U9" s="184">
        <v>971.6893093628918</v>
      </c>
      <c r="V9" s="158"/>
      <c r="W9" s="212"/>
    </row>
    <row r="10" spans="1:23" ht="24.75" customHeight="1">
      <c r="A10" s="40">
        <v>5</v>
      </c>
      <c r="B10" s="41" t="s">
        <v>121</v>
      </c>
      <c r="C10" s="181">
        <f>+'Коэф.масшт.'!C9</f>
        <v>3970</v>
      </c>
      <c r="D10" s="204">
        <f>+'Налоговый потен'!M11</f>
        <v>5951.929929270074</v>
      </c>
      <c r="E10" s="205">
        <v>7082.5</v>
      </c>
      <c r="F10" s="206">
        <f>'субв от числ уточ'!D10</f>
        <v>1515.957666568577</v>
      </c>
      <c r="G10" s="150">
        <f>+ИБР!R11</f>
        <v>1.4663120583350868</v>
      </c>
      <c r="H10" s="150">
        <f>БО!D11</f>
        <v>0.5856110932150179</v>
      </c>
      <c r="I10" s="202">
        <f>(E14/C14)*(H15-H10)*G10*C10</f>
        <v>209.2980620249972</v>
      </c>
      <c r="J10" s="207">
        <f>I10*0.1</f>
        <v>20.92980620249972</v>
      </c>
      <c r="K10" s="123">
        <f>БО!G11</f>
        <v>0.5815829317892713</v>
      </c>
      <c r="L10" s="208">
        <f t="shared" si="0"/>
        <v>8619.387472771075</v>
      </c>
      <c r="M10" s="208">
        <f>(L14/C14)*(1-K10)*G10*C10</f>
        <v>6378.705169227054</v>
      </c>
      <c r="N10" s="207">
        <f>(5000-J14)*M10/M14</f>
        <v>616.0349673280741</v>
      </c>
      <c r="O10" s="206">
        <f t="shared" si="1"/>
        <v>636.9647735305739</v>
      </c>
      <c r="P10" s="207">
        <f>F10+O10</f>
        <v>2152.9224400991507</v>
      </c>
      <c r="R10" s="158">
        <v>717.12912</v>
      </c>
      <c r="S10" s="158">
        <f t="shared" si="2"/>
        <v>80.16434646942605</v>
      </c>
      <c r="U10" s="184">
        <v>717.1291167078014</v>
      </c>
      <c r="V10" s="158"/>
      <c r="W10" s="212"/>
    </row>
    <row r="11" spans="1:23" ht="24.75" customHeight="1">
      <c r="A11" s="40">
        <v>6</v>
      </c>
      <c r="B11" s="41" t="s">
        <v>122</v>
      </c>
      <c r="C11" s="181">
        <f>+'Коэф.масшт.'!C10</f>
        <v>4544</v>
      </c>
      <c r="D11" s="204">
        <f>+'Налоговый потен'!M12</f>
        <v>11463.335352491582</v>
      </c>
      <c r="E11" s="205">
        <v>12023</v>
      </c>
      <c r="F11" s="206">
        <f>'субв от числ уточ'!D11</f>
        <v>1735.1404401228249</v>
      </c>
      <c r="G11" s="150">
        <f>+ИБР!R12</f>
        <v>1.5826368855333957</v>
      </c>
      <c r="H11" s="150">
        <f>БО!D12</f>
        <v>0.8377850561963914</v>
      </c>
      <c r="I11" s="202">
        <f>(E14/C14)*(H15-H11)*G11*C11</f>
        <v>-3759.475813163788</v>
      </c>
      <c r="J11" s="207">
        <v>0</v>
      </c>
      <c r="K11" s="123">
        <f>БО!G12</f>
        <v>0.829696958352461</v>
      </c>
      <c r="L11" s="208">
        <f t="shared" si="0"/>
        <v>13758.140440122825</v>
      </c>
      <c r="M11" s="208">
        <f>(L14/C14)*(1-K11)*G11*C11</f>
        <v>3207.363885506603</v>
      </c>
      <c r="N11" s="207">
        <f>(5000-J14)*M11/M14</f>
        <v>309.7569575639644</v>
      </c>
      <c r="O11" s="206">
        <f t="shared" si="1"/>
        <v>309.7569575639644</v>
      </c>
      <c r="P11" s="207">
        <f>F11+O11-0.001</f>
        <v>2044.8963976867892</v>
      </c>
      <c r="R11" s="158">
        <v>325.26707</v>
      </c>
      <c r="S11" s="158">
        <f t="shared" si="2"/>
        <v>15.51011243603557</v>
      </c>
      <c r="U11" s="184">
        <v>325.2670714881616</v>
      </c>
      <c r="V11" s="158"/>
      <c r="W11" s="212"/>
    </row>
    <row r="12" spans="1:23" ht="24.75" customHeight="1">
      <c r="A12" s="40">
        <v>7</v>
      </c>
      <c r="B12" s="41" t="s">
        <v>123</v>
      </c>
      <c r="C12" s="181">
        <f>+'Коэф.масшт.'!C11</f>
        <v>2120</v>
      </c>
      <c r="D12" s="204">
        <f>+'Налоговый потен'!M13</f>
        <v>2723.83046197153</v>
      </c>
      <c r="E12" s="205">
        <v>2905</v>
      </c>
      <c r="F12" s="206">
        <f>'субв от числ уточ'!D12</f>
        <v>809.5285504094165</v>
      </c>
      <c r="G12" s="150">
        <f>+ИБР!R13</f>
        <v>1.898572168335056</v>
      </c>
      <c r="H12" s="150">
        <f>БО!D13</f>
        <v>0.4007312684134586</v>
      </c>
      <c r="I12" s="202">
        <f>(E14/C14)*(H15-H12)*G12*C12</f>
        <v>1793.4340937557588</v>
      </c>
      <c r="J12" s="207">
        <f>I12*0.1</f>
        <v>179.3434093755759</v>
      </c>
      <c r="K12" s="123">
        <f>БО!G13</f>
        <v>0.4170061827055669</v>
      </c>
      <c r="L12" s="208">
        <f t="shared" si="0"/>
        <v>3893.871959784992</v>
      </c>
      <c r="M12" s="208">
        <f>(L14/C14)*(1-K12)*G12*C12</f>
        <v>6145.1592821864615</v>
      </c>
      <c r="N12" s="207">
        <f>(5000-J14)*M12/M14</f>
        <v>593.47985166185</v>
      </c>
      <c r="O12" s="206">
        <f t="shared" si="1"/>
        <v>772.8232610374259</v>
      </c>
      <c r="P12" s="207">
        <f>F12+O12-0.001</f>
        <v>1582.3508114468425</v>
      </c>
      <c r="R12" s="158">
        <v>737.83446</v>
      </c>
      <c r="S12" s="158">
        <f t="shared" si="2"/>
        <v>-34.9888010374259</v>
      </c>
      <c r="U12" s="184">
        <v>737.834464373341</v>
      </c>
      <c r="V12" s="158"/>
      <c r="W12" s="212"/>
    </row>
    <row r="13" spans="1:23" ht="24.75" customHeight="1">
      <c r="A13" s="40">
        <v>8</v>
      </c>
      <c r="B13" s="41" t="s">
        <v>124</v>
      </c>
      <c r="C13" s="181">
        <f>+'Коэф.масшт.'!C12</f>
        <v>3323</v>
      </c>
      <c r="D13" s="204">
        <f>+'Налоговый потен'!M14</f>
        <v>8247.936360882966</v>
      </c>
      <c r="E13" s="205">
        <v>8340</v>
      </c>
      <c r="F13" s="206">
        <f>'субв от числ уточ'!D13</f>
        <v>1268.8978174577787</v>
      </c>
      <c r="G13" s="150">
        <f>+ИБР!R14</f>
        <v>1.6108785414676356</v>
      </c>
      <c r="H13" s="150">
        <f>БО!D14</f>
        <v>0.8115733919450625</v>
      </c>
      <c r="I13" s="202">
        <f>(E14/C14)*(H15-H13)*G13*C13</f>
        <v>-2487.4698711995393</v>
      </c>
      <c r="J13" s="207">
        <v>0</v>
      </c>
      <c r="K13" s="123">
        <f>БО!G14</f>
        <v>0.8037383452907528</v>
      </c>
      <c r="L13" s="208">
        <f>E13+F13+J13</f>
        <v>9608.897817457779</v>
      </c>
      <c r="M13" s="208">
        <f>(L14/C14)*(1-K13)*G13*C13</f>
        <v>2751.2801691540767</v>
      </c>
      <c r="N13" s="207">
        <f>(5000-J14)*M13/M14</f>
        <v>265.7098492797386</v>
      </c>
      <c r="O13" s="206">
        <f t="shared" si="1"/>
        <v>265.7098492797386</v>
      </c>
      <c r="P13" s="207">
        <f>F13+O13</f>
        <v>1534.6076667375173</v>
      </c>
      <c r="R13" s="158">
        <v>252.99073</v>
      </c>
      <c r="S13" s="158">
        <f t="shared" si="2"/>
        <v>-12.719119279738578</v>
      </c>
      <c r="U13" s="184">
        <v>252.99073354603604</v>
      </c>
      <c r="V13" s="158"/>
      <c r="W13" s="212"/>
    </row>
    <row r="14" spans="1:23" ht="24.75" customHeight="1">
      <c r="A14" s="40"/>
      <c r="B14" s="44" t="s">
        <v>14</v>
      </c>
      <c r="C14" s="182">
        <f>SUM(C6:C13)</f>
        <v>31264</v>
      </c>
      <c r="D14" s="203">
        <f>SUM(D6:D13)</f>
        <v>56550</v>
      </c>
      <c r="E14" s="203">
        <f>SUM(E6:E13)</f>
        <v>69269</v>
      </c>
      <c r="F14" s="206">
        <f>SUM(F6:F13)-0.001</f>
        <v>11938.2549</v>
      </c>
      <c r="G14" s="150"/>
      <c r="H14" s="90"/>
      <c r="I14" s="203">
        <f>SUM(I6:I13)</f>
        <v>-4738.9875164329915</v>
      </c>
      <c r="J14" s="203">
        <f>+J8+J9+J10+J12</f>
        <v>667.6410095311282</v>
      </c>
      <c r="K14" s="123"/>
      <c r="L14" s="203">
        <f>SUM(L6:L13)</f>
        <v>81874.89690953113</v>
      </c>
      <c r="M14" s="203">
        <f>SUM(M6:M13)</f>
        <v>44859.20792339365</v>
      </c>
      <c r="N14" s="203">
        <f>SUM(N6:N13)</f>
        <v>4332.358990468872</v>
      </c>
      <c r="O14" s="206">
        <f>SUM(O6:O13)</f>
        <v>5000</v>
      </c>
      <c r="P14" s="203">
        <f>SUM(P6:P13)</f>
        <v>16938.253899999996</v>
      </c>
      <c r="R14" s="158">
        <f>SUM(R6:R13)</f>
        <v>4899.99999</v>
      </c>
      <c r="S14" s="158">
        <f t="shared" si="2"/>
        <v>-100.00000999999975</v>
      </c>
      <c r="V14" s="158"/>
      <c r="W14" s="212"/>
    </row>
    <row r="15" spans="1:23" ht="24.75" customHeight="1">
      <c r="A15" s="40"/>
      <c r="B15" s="38"/>
      <c r="C15" s="90"/>
      <c r="D15" s="90"/>
      <c r="E15" s="90"/>
      <c r="F15" s="36"/>
      <c r="G15" s="150" t="s">
        <v>91</v>
      </c>
      <c r="H15" s="150">
        <f>БО!D16</f>
        <v>0.6018386791730689</v>
      </c>
      <c r="I15" s="150"/>
      <c r="J15" s="172" t="s">
        <v>127</v>
      </c>
      <c r="K15" s="123">
        <f>+БО!G16</f>
        <v>0.6040051190290783</v>
      </c>
      <c r="L15" s="123">
        <v>1</v>
      </c>
      <c r="M15" s="123"/>
      <c r="N15" s="173"/>
      <c r="O15" s="36"/>
      <c r="P15" s="124"/>
      <c r="W15" s="212"/>
    </row>
    <row r="16" spans="2:16" ht="21" customHeight="1">
      <c r="B16" s="39"/>
      <c r="C16" s="74"/>
      <c r="D16" s="74"/>
      <c r="H16" s="83"/>
      <c r="I16" s="74"/>
      <c r="J16" s="168"/>
      <c r="K16" s="174" t="s">
        <v>110</v>
      </c>
      <c r="L16" s="174"/>
      <c r="M16" s="174"/>
      <c r="N16" s="174"/>
      <c r="O16" s="165"/>
      <c r="P16" s="166"/>
    </row>
    <row r="17" spans="2:9" ht="12.75" hidden="1">
      <c r="B17" s="225"/>
      <c r="C17" s="225"/>
      <c r="D17" s="225"/>
      <c r="E17" s="225"/>
      <c r="I17" s="43">
        <f>+(E14/C14)*G6*H15*C6</f>
        <v>10548.322808957053</v>
      </c>
    </row>
    <row r="18" ht="12.75" hidden="1">
      <c r="I18" s="43">
        <f>+(E14/C14)*G7*H15*C7</f>
        <v>9051.058334344665</v>
      </c>
    </row>
    <row r="19" ht="12.75" hidden="1"/>
    <row r="20" ht="12.75">
      <c r="N20" s="175"/>
    </row>
    <row r="21" ht="12.75">
      <c r="D21" s="158"/>
    </row>
    <row r="22" ht="12.75">
      <c r="I22" s="158"/>
    </row>
  </sheetData>
  <sheetProtection/>
  <mergeCells count="2">
    <mergeCell ref="B17:E17"/>
    <mergeCell ref="A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5.625" style="26" customWidth="1"/>
    <col min="2" max="2" width="26.625" style="26" customWidth="1"/>
    <col min="3" max="3" width="12.375" style="147" customWidth="1"/>
    <col min="4" max="4" width="12.375" style="165" customWidth="1"/>
    <col min="5" max="6" width="12.375" style="26" customWidth="1"/>
    <col min="7" max="8" width="12.375" style="165" customWidth="1"/>
    <col min="9" max="9" width="12.375" style="27" customWidth="1"/>
    <col min="10" max="11" width="12.375" style="26" customWidth="1"/>
    <col min="12" max="12" width="11.375" style="26" bestFit="1" customWidth="1"/>
    <col min="13" max="13" width="9.125" style="26" customWidth="1"/>
    <col min="14" max="14" width="12.375" style="26" hidden="1" customWidth="1"/>
    <col min="15" max="16384" width="9.125" style="26" customWidth="1"/>
  </cols>
  <sheetData>
    <row r="1" spans="3:11" s="33" customFormat="1" ht="15.75">
      <c r="C1" s="198"/>
      <c r="D1" s="178"/>
      <c r="G1" s="178"/>
      <c r="H1" s="178"/>
      <c r="I1" s="16"/>
      <c r="K1" s="16" t="s">
        <v>151</v>
      </c>
    </row>
    <row r="2" spans="1:11" s="33" customFormat="1" ht="59.25" customHeight="1">
      <c r="A2" s="264" t="s">
        <v>187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199" customFormat="1" ht="12.75">
      <c r="A3" s="218" t="s">
        <v>0</v>
      </c>
      <c r="B3" s="218" t="s">
        <v>1</v>
      </c>
      <c r="C3" s="261" t="s">
        <v>59</v>
      </c>
      <c r="D3" s="261"/>
      <c r="E3" s="261"/>
      <c r="F3" s="261" t="s">
        <v>84</v>
      </c>
      <c r="G3" s="261"/>
      <c r="H3" s="191"/>
      <c r="I3" s="262" t="s">
        <v>113</v>
      </c>
      <c r="J3" s="263"/>
      <c r="K3" s="17"/>
    </row>
    <row r="4" spans="1:11" s="199" customFormat="1" ht="54.75" customHeight="1">
      <c r="A4" s="218"/>
      <c r="B4" s="218"/>
      <c r="C4" s="192" t="s">
        <v>161</v>
      </c>
      <c r="D4" s="192" t="s">
        <v>188</v>
      </c>
      <c r="E4" s="183" t="s">
        <v>83</v>
      </c>
      <c r="F4" s="192" t="s">
        <v>161</v>
      </c>
      <c r="G4" s="192" t="s">
        <v>188</v>
      </c>
      <c r="H4" s="183" t="s">
        <v>83</v>
      </c>
      <c r="I4" s="192" t="s">
        <v>189</v>
      </c>
      <c r="J4" s="200" t="s">
        <v>161</v>
      </c>
      <c r="K4" s="183" t="s">
        <v>83</v>
      </c>
    </row>
    <row r="5" spans="1:14" ht="24.75" customHeight="1">
      <c r="A5" s="30">
        <v>1</v>
      </c>
      <c r="B5" s="31" t="s">
        <v>117</v>
      </c>
      <c r="C5" s="204">
        <v>2336.653</v>
      </c>
      <c r="D5" s="4">
        <f>+'субв от числ уточ'!D6</f>
        <v>2377.4173371929373</v>
      </c>
      <c r="E5" s="4">
        <f>D5-C5</f>
        <v>40.764337192937546</v>
      </c>
      <c r="F5" s="204">
        <v>351.292</v>
      </c>
      <c r="G5" s="4">
        <f>'Дотац 4000'!O6</f>
        <v>416.89293301943167</v>
      </c>
      <c r="H5" s="4">
        <f>+G5-F5</f>
        <v>65.6009330194317</v>
      </c>
      <c r="I5" s="4">
        <f>D5+G5</f>
        <v>2794.310270212369</v>
      </c>
      <c r="J5" s="4">
        <f>C5+F5</f>
        <v>2687.9449999999997</v>
      </c>
      <c r="K5" s="4">
        <f>+I5-J5</f>
        <v>106.36527021236907</v>
      </c>
      <c r="N5" s="193">
        <v>325.81391</v>
      </c>
    </row>
    <row r="6" spans="1:14" ht="24.75" customHeight="1">
      <c r="A6" s="30">
        <v>2</v>
      </c>
      <c r="B6" s="31" t="s">
        <v>118</v>
      </c>
      <c r="C6" s="204">
        <v>2091.907</v>
      </c>
      <c r="D6" s="4">
        <f>+'субв от числ уточ'!D7</f>
        <v>2125.394297914534</v>
      </c>
      <c r="E6" s="4">
        <f aca="true" t="shared" si="0" ref="E6:E12">D6-C6</f>
        <v>33.48729791453388</v>
      </c>
      <c r="F6" s="204">
        <v>405.44</v>
      </c>
      <c r="G6" s="4">
        <f>'Дотац 4000'!O7</f>
        <v>500.5625535423888</v>
      </c>
      <c r="H6" s="4">
        <f aca="true" t="shared" si="1" ref="H6:H13">+G6-F6</f>
        <v>95.1225535423888</v>
      </c>
      <c r="I6" s="4">
        <f aca="true" t="shared" si="2" ref="I6:I12">D6+G6</f>
        <v>2625.956851456923</v>
      </c>
      <c r="J6" s="4">
        <f aca="true" t="shared" si="3" ref="J6:J12">C6+F6</f>
        <v>2497.347</v>
      </c>
      <c r="K6" s="4">
        <f aca="true" t="shared" si="4" ref="K6:K12">+I6-J6</f>
        <v>128.60985145692257</v>
      </c>
      <c r="L6" s="193"/>
      <c r="N6" s="193">
        <v>385.45358</v>
      </c>
    </row>
    <row r="7" spans="1:14" ht="24.75" customHeight="1">
      <c r="A7" s="30">
        <v>3</v>
      </c>
      <c r="B7" s="31" t="s">
        <v>119</v>
      </c>
      <c r="C7" s="204">
        <v>1497.469</v>
      </c>
      <c r="D7" s="4">
        <f>+'субв от числ уточ'!D8</f>
        <v>1522.0664160056294</v>
      </c>
      <c r="E7" s="4">
        <f t="shared" si="0"/>
        <v>24.597416005629384</v>
      </c>
      <c r="F7" s="204">
        <v>1138.355</v>
      </c>
      <c r="G7" s="4">
        <f>'Дотац 4000'!O8</f>
        <v>1134.8222929912192</v>
      </c>
      <c r="H7" s="4">
        <f t="shared" si="1"/>
        <v>-3.5327070087807897</v>
      </c>
      <c r="I7" s="4">
        <f t="shared" si="2"/>
        <v>2656.8887089968484</v>
      </c>
      <c r="J7" s="4">
        <f t="shared" si="3"/>
        <v>2635.824</v>
      </c>
      <c r="K7" s="4">
        <f t="shared" si="4"/>
        <v>21.064708996848367</v>
      </c>
      <c r="N7" s="193">
        <v>1150.84672</v>
      </c>
    </row>
    <row r="8" spans="1:14" ht="24.75" customHeight="1">
      <c r="A8" s="30">
        <v>4</v>
      </c>
      <c r="B8" s="31" t="s">
        <v>120</v>
      </c>
      <c r="C8" s="204">
        <v>585.998</v>
      </c>
      <c r="D8" s="204">
        <f>+'субв от числ уточ'!D9</f>
        <v>583.8533743283009</v>
      </c>
      <c r="E8" s="4">
        <f t="shared" si="0"/>
        <v>-2.1446256716991456</v>
      </c>
      <c r="F8" s="204">
        <v>971.69</v>
      </c>
      <c r="G8" s="4">
        <f>'Дотац 4000'!O9</f>
        <v>962.4673790352577</v>
      </c>
      <c r="H8" s="4">
        <f t="shared" si="1"/>
        <v>-9.222620964742305</v>
      </c>
      <c r="I8" s="4">
        <f t="shared" si="2"/>
        <v>1546.3207533635587</v>
      </c>
      <c r="J8" s="4">
        <f t="shared" si="3"/>
        <v>1557.688</v>
      </c>
      <c r="K8" s="4">
        <f t="shared" si="4"/>
        <v>-11.36724663644145</v>
      </c>
      <c r="N8" s="193">
        <v>969.6078</v>
      </c>
    </row>
    <row r="9" spans="1:14" ht="24.75" customHeight="1">
      <c r="A9" s="30">
        <v>5</v>
      </c>
      <c r="B9" s="31" t="s">
        <v>121</v>
      </c>
      <c r="C9" s="204">
        <v>1503.708</v>
      </c>
      <c r="D9" s="204">
        <f>+'субв от числ уточ'!D10</f>
        <v>1515.957666568577</v>
      </c>
      <c r="E9" s="4">
        <f t="shared" si="0"/>
        <v>12.249666568576913</v>
      </c>
      <c r="F9" s="204">
        <v>717.128</v>
      </c>
      <c r="G9" s="4">
        <f>'Дотац 4000'!O10</f>
        <v>636.9647735305739</v>
      </c>
      <c r="H9" s="4">
        <f t="shared" si="1"/>
        <v>-80.16322646942615</v>
      </c>
      <c r="I9" s="4">
        <f t="shared" si="2"/>
        <v>2152.9224400991507</v>
      </c>
      <c r="J9" s="4">
        <f t="shared" si="3"/>
        <v>2220.8360000000002</v>
      </c>
      <c r="K9" s="4">
        <f t="shared" si="4"/>
        <v>-67.91355990084958</v>
      </c>
      <c r="N9" s="193">
        <v>742.22817</v>
      </c>
    </row>
    <row r="10" spans="1:14" ht="24.75" customHeight="1">
      <c r="A10" s="30">
        <v>6</v>
      </c>
      <c r="B10" s="31" t="s">
        <v>122</v>
      </c>
      <c r="C10" s="204">
        <v>1713.228</v>
      </c>
      <c r="D10" s="204">
        <f>+'субв от числ уточ'!D11</f>
        <v>1735.1404401228249</v>
      </c>
      <c r="E10" s="4">
        <f t="shared" si="0"/>
        <v>21.91244012282482</v>
      </c>
      <c r="F10" s="204">
        <v>325.269</v>
      </c>
      <c r="G10" s="4">
        <f>'Дотац 4000'!O11</f>
        <v>309.7569575639644</v>
      </c>
      <c r="H10" s="4">
        <f t="shared" si="1"/>
        <v>-15.512042436035586</v>
      </c>
      <c r="I10" s="4">
        <f t="shared" si="2"/>
        <v>2044.8973976867892</v>
      </c>
      <c r="J10" s="4">
        <f t="shared" si="3"/>
        <v>2038.497</v>
      </c>
      <c r="K10" s="4">
        <f t="shared" si="4"/>
        <v>6.40039768678912</v>
      </c>
      <c r="N10" s="193">
        <v>308.75746</v>
      </c>
    </row>
    <row r="11" spans="1:14" ht="24.75" customHeight="1">
      <c r="A11" s="30">
        <v>7</v>
      </c>
      <c r="B11" s="31" t="s">
        <v>123</v>
      </c>
      <c r="C11" s="204">
        <v>813.132</v>
      </c>
      <c r="D11" s="204">
        <f>+'субв от числ уточ'!D12</f>
        <v>809.5285504094165</v>
      </c>
      <c r="E11" s="4">
        <f t="shared" si="0"/>
        <v>-3.603449590583409</v>
      </c>
      <c r="F11" s="204">
        <v>737.834</v>
      </c>
      <c r="G11" s="4">
        <f>'Дотац 4000'!O12</f>
        <v>772.8232610374259</v>
      </c>
      <c r="H11" s="4">
        <f t="shared" si="1"/>
        <v>34.98926103742599</v>
      </c>
      <c r="I11" s="4">
        <f t="shared" si="2"/>
        <v>1582.3518114468425</v>
      </c>
      <c r="J11" s="4">
        <f t="shared" si="3"/>
        <v>1550.966</v>
      </c>
      <c r="K11" s="4">
        <f t="shared" si="4"/>
        <v>31.38581144684258</v>
      </c>
      <c r="N11" s="193">
        <v>750.51896</v>
      </c>
    </row>
    <row r="12" spans="1:14" ht="24.75" customHeight="1">
      <c r="A12" s="30">
        <v>8</v>
      </c>
      <c r="B12" s="31" t="s">
        <v>124</v>
      </c>
      <c r="C12" s="204">
        <v>1258.96</v>
      </c>
      <c r="D12" s="204">
        <f>+'субв от числ уточ'!D13</f>
        <v>1268.8978174577787</v>
      </c>
      <c r="E12" s="4">
        <f t="shared" si="0"/>
        <v>9.937817457778692</v>
      </c>
      <c r="F12" s="204">
        <v>252.992</v>
      </c>
      <c r="G12" s="4">
        <f>'Дотац 4000'!O13</f>
        <v>265.7098492797386</v>
      </c>
      <c r="H12" s="4">
        <f t="shared" si="1"/>
        <v>12.717849279738601</v>
      </c>
      <c r="I12" s="4">
        <f t="shared" si="2"/>
        <v>1534.6076667375173</v>
      </c>
      <c r="J12" s="4">
        <f t="shared" si="3"/>
        <v>1511.952</v>
      </c>
      <c r="K12" s="4">
        <f t="shared" si="4"/>
        <v>22.655666737517322</v>
      </c>
      <c r="N12" s="193">
        <v>77.3734</v>
      </c>
    </row>
    <row r="13" spans="1:14" ht="24.75" customHeight="1">
      <c r="A13" s="30"/>
      <c r="B13" s="3" t="s">
        <v>14</v>
      </c>
      <c r="C13" s="209">
        <f>SUM(C5:C12)</f>
        <v>11801.055</v>
      </c>
      <c r="D13" s="209">
        <f>SUM(D5:D12)-0.001</f>
        <v>11938.2549</v>
      </c>
      <c r="E13" s="209">
        <f>SUM(E5:E12)-0.001</f>
        <v>137.19989999999868</v>
      </c>
      <c r="F13" s="209">
        <f>SUM(F5:F12)</f>
        <v>4900</v>
      </c>
      <c r="G13" s="209">
        <f>SUM(G5:G12)</f>
        <v>5000</v>
      </c>
      <c r="H13" s="209">
        <f t="shared" si="1"/>
        <v>100</v>
      </c>
      <c r="I13" s="209">
        <f>SUM(I5:I12)</f>
        <v>16938.255899999996</v>
      </c>
      <c r="J13" s="209">
        <f>SUM(J5:J12)</f>
        <v>16701.055</v>
      </c>
      <c r="K13" s="209">
        <f>+I13-J13-0.001</f>
        <v>237.19989999999618</v>
      </c>
      <c r="N13" s="193">
        <f>SUM(N5:N12)</f>
        <v>4710.6</v>
      </c>
    </row>
    <row r="14" spans="2:11" ht="12.75">
      <c r="B14" s="146"/>
      <c r="C14" s="194"/>
      <c r="D14" s="195"/>
      <c r="E14" s="196"/>
      <c r="F14" s="196"/>
      <c r="G14" s="195"/>
      <c r="H14" s="195"/>
      <c r="I14" s="196"/>
      <c r="J14" s="196"/>
      <c r="K14" s="196"/>
    </row>
    <row r="15" spans="2:11" ht="12.75" hidden="1">
      <c r="B15" s="146"/>
      <c r="C15" s="194" t="s">
        <v>140</v>
      </c>
      <c r="D15" s="197">
        <v>11126.11</v>
      </c>
      <c r="E15" s="196"/>
      <c r="F15" s="196"/>
      <c r="G15" s="197">
        <v>4500</v>
      </c>
      <c r="H15" s="197"/>
      <c r="I15" s="196"/>
      <c r="J15" s="196"/>
      <c r="K15" s="196"/>
    </row>
    <row r="16" spans="2:9" ht="24.75" customHeight="1" hidden="1">
      <c r="B16" s="165"/>
      <c r="C16" s="165" t="s">
        <v>137</v>
      </c>
      <c r="D16" s="197">
        <f>11649-3.245</f>
        <v>11645.755</v>
      </c>
      <c r="E16" s="72"/>
      <c r="F16" s="72"/>
      <c r="G16" s="197">
        <f>4500*D17/100</f>
        <v>4710.172513124532</v>
      </c>
      <c r="H16" s="197"/>
      <c r="I16" s="165"/>
    </row>
    <row r="17" ht="12.75" hidden="1">
      <c r="D17" s="165">
        <f>+D16/D15*100</f>
        <v>104.67050029165628</v>
      </c>
    </row>
    <row r="18" spans="3:8" ht="12.75" hidden="1">
      <c r="C18" s="165" t="s">
        <v>139</v>
      </c>
      <c r="D18" s="197">
        <f>12111-3.245</f>
        <v>12107.755</v>
      </c>
      <c r="E18" s="72"/>
      <c r="F18" s="72"/>
      <c r="G18" s="197">
        <f>+G16*D19/100</f>
        <v>4777.047841108345</v>
      </c>
      <c r="H18" s="197"/>
    </row>
    <row r="19" ht="12.75" hidden="1">
      <c r="D19" s="165">
        <f>+D18/D13*100</f>
        <v>101.41980634037225</v>
      </c>
    </row>
    <row r="20" spans="3:8" ht="12.75" hidden="1">
      <c r="C20" s="165" t="s">
        <v>138</v>
      </c>
      <c r="D20" s="197">
        <f>9894.7-3.245</f>
        <v>9891.455</v>
      </c>
      <c r="E20" s="72"/>
      <c r="F20" s="72"/>
      <c r="G20" s="197">
        <f>+G18*D21/100</f>
        <v>3902.6189209453237</v>
      </c>
      <c r="H20" s="197"/>
    </row>
    <row r="21" ht="12.75" hidden="1">
      <c r="D21" s="165">
        <f>+D20/D18*100</f>
        <v>81.69520278532231</v>
      </c>
    </row>
    <row r="22" spans="6:9" ht="12.75">
      <c r="F22" s="165"/>
      <c r="H22" s="27"/>
      <c r="I22" s="26"/>
    </row>
    <row r="23" spans="6:9" ht="12.75">
      <c r="F23" s="165"/>
      <c r="H23" s="27"/>
      <c r="I23" s="26"/>
    </row>
    <row r="24" spans="6:9" ht="12.75">
      <c r="F24" s="165"/>
      <c r="H24" s="27"/>
      <c r="I24" s="26"/>
    </row>
    <row r="25" spans="6:9" ht="12.75">
      <c r="F25" s="165"/>
      <c r="H25" s="27"/>
      <c r="I25" s="26"/>
    </row>
    <row r="26" spans="6:9" ht="12.75">
      <c r="F26" s="165"/>
      <c r="H26" s="27"/>
      <c r="I26" s="26"/>
    </row>
    <row r="27" spans="6:9" ht="12.75">
      <c r="F27" s="165"/>
      <c r="H27" s="27"/>
      <c r="I27" s="26"/>
    </row>
    <row r="28" spans="6:9" ht="12.75">
      <c r="F28" s="165"/>
      <c r="H28" s="27"/>
      <c r="I28" s="26"/>
    </row>
    <row r="29" spans="6:9" ht="12.75">
      <c r="F29" s="165"/>
      <c r="H29" s="27"/>
      <c r="I29" s="26"/>
    </row>
  </sheetData>
  <sheetProtection/>
  <mergeCells count="6">
    <mergeCell ref="C3:E3"/>
    <mergeCell ref="F3:G3"/>
    <mergeCell ref="B3:B4"/>
    <mergeCell ref="A3:A4"/>
    <mergeCell ref="I3:J3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5.25390625" style="37" customWidth="1"/>
    <col min="2" max="2" width="31.875" style="37" customWidth="1"/>
    <col min="3" max="8" width="13.375" style="37" customWidth="1"/>
    <col min="9" max="10" width="9.125" style="37" customWidth="1"/>
    <col min="11" max="11" width="10.875" style="37" bestFit="1" customWidth="1"/>
    <col min="12" max="16384" width="9.125" style="37" customWidth="1"/>
  </cols>
  <sheetData>
    <row r="1" spans="4:8" s="15" customFormat="1" ht="15.75">
      <c r="D1" s="16"/>
      <c r="G1" s="16"/>
      <c r="H1" s="16" t="s">
        <v>152</v>
      </c>
    </row>
    <row r="2" spans="1:8" s="15" customFormat="1" ht="42.75" customHeight="1">
      <c r="A2" s="258" t="s">
        <v>190</v>
      </c>
      <c r="B2" s="258"/>
      <c r="C2" s="258"/>
      <c r="D2" s="258"/>
      <c r="E2" s="258"/>
      <c r="F2" s="258"/>
      <c r="G2" s="258"/>
      <c r="H2" s="258"/>
    </row>
    <row r="3" spans="1:8" ht="12.75">
      <c r="A3" s="186"/>
      <c r="B3" s="186"/>
      <c r="C3" s="187"/>
      <c r="D3" s="187"/>
      <c r="E3" s="187"/>
      <c r="F3" s="187"/>
      <c r="G3" s="187"/>
      <c r="H3" s="188" t="s">
        <v>157</v>
      </c>
    </row>
    <row r="4" spans="1:8" s="51" customFormat="1" ht="64.5" customHeight="1">
      <c r="A4" s="268" t="s">
        <v>156</v>
      </c>
      <c r="B4" s="268" t="s">
        <v>153</v>
      </c>
      <c r="C4" s="265" t="s">
        <v>154</v>
      </c>
      <c r="D4" s="266"/>
      <c r="E4" s="267"/>
      <c r="F4" s="265" t="s">
        <v>155</v>
      </c>
      <c r="G4" s="266"/>
      <c r="H4" s="267"/>
    </row>
    <row r="5" spans="1:8" s="51" customFormat="1" ht="21" customHeight="1">
      <c r="A5" s="269"/>
      <c r="B5" s="270"/>
      <c r="C5" s="170" t="s">
        <v>138</v>
      </c>
      <c r="D5" s="170" t="s">
        <v>164</v>
      </c>
      <c r="E5" s="170" t="s">
        <v>191</v>
      </c>
      <c r="F5" s="170" t="s">
        <v>138</v>
      </c>
      <c r="G5" s="170" t="s">
        <v>164</v>
      </c>
      <c r="H5" s="170" t="s">
        <v>191</v>
      </c>
    </row>
    <row r="6" spans="1:11" ht="21" customHeight="1">
      <c r="A6" s="40">
        <v>1</v>
      </c>
      <c r="B6" s="41" t="s">
        <v>117</v>
      </c>
      <c r="C6" s="201">
        <f>+'субв от числ уточ'!D6</f>
        <v>2377.4173371929373</v>
      </c>
      <c r="D6" s="201">
        <f>+'субв от числ уточ'!E6</f>
        <v>2472.687245074206</v>
      </c>
      <c r="E6" s="201">
        <f>+'субв от числ уточ'!F6</f>
        <v>2472.687245074206</v>
      </c>
      <c r="F6" s="201">
        <f>+РФФПП!G5</f>
        <v>416.89293301943167</v>
      </c>
      <c r="G6" s="208">
        <f>+F6</f>
        <v>416.89293301943167</v>
      </c>
      <c r="H6" s="208">
        <f>+F6</f>
        <v>416.89293301943167</v>
      </c>
      <c r="K6" s="158"/>
    </row>
    <row r="7" spans="1:11" ht="21" customHeight="1">
      <c r="A7" s="40">
        <v>2</v>
      </c>
      <c r="B7" s="41" t="s">
        <v>118</v>
      </c>
      <c r="C7" s="201">
        <f>+'субв от числ уточ'!D7</f>
        <v>2125.394297914534</v>
      </c>
      <c r="D7" s="201">
        <f>+'субв от числ уточ'!E7</f>
        <v>2210.5649222748207</v>
      </c>
      <c r="E7" s="201">
        <f>+'субв от числ уточ'!F7</f>
        <v>2210.5649222748207</v>
      </c>
      <c r="F7" s="201">
        <f>+РФФПП!G6</f>
        <v>500.5625535423888</v>
      </c>
      <c r="G7" s="208">
        <f aca="true" t="shared" si="0" ref="G7:G13">+F7</f>
        <v>500.5625535423888</v>
      </c>
      <c r="H7" s="208">
        <f aca="true" t="shared" si="1" ref="H7:H13">+F7</f>
        <v>500.5625535423888</v>
      </c>
      <c r="K7" s="158"/>
    </row>
    <row r="8" spans="1:11" ht="21" customHeight="1">
      <c r="A8" s="40">
        <v>3</v>
      </c>
      <c r="B8" s="41" t="s">
        <v>119</v>
      </c>
      <c r="C8" s="201">
        <f>+'субв от числ уточ'!D8-0.000004555</f>
        <v>1522.0664114506294</v>
      </c>
      <c r="D8" s="201">
        <f>+'субв от числ уточ'!E8</f>
        <v>1583.0599676944726</v>
      </c>
      <c r="E8" s="201">
        <f>+'субв от числ уточ'!F8</f>
        <v>1583.0599676944726</v>
      </c>
      <c r="F8" s="201">
        <f>+РФФПП!G7-0.00000976654</f>
        <v>1134.8222832246793</v>
      </c>
      <c r="G8" s="208">
        <f t="shared" si="0"/>
        <v>1134.8222832246793</v>
      </c>
      <c r="H8" s="208">
        <f t="shared" si="1"/>
        <v>1134.8222832246793</v>
      </c>
      <c r="K8" s="158"/>
    </row>
    <row r="9" spans="1:11" ht="21" customHeight="1">
      <c r="A9" s="40">
        <v>4</v>
      </c>
      <c r="B9" s="41" t="s">
        <v>120</v>
      </c>
      <c r="C9" s="201">
        <f>+'субв от числ уточ'!D9</f>
        <v>583.8533743283009</v>
      </c>
      <c r="D9" s="201">
        <f>+'субв от числ уточ'!E9</f>
        <v>607.2510478185771</v>
      </c>
      <c r="E9" s="201">
        <f>+'субв от числ уточ'!F9</f>
        <v>607.2510523865772</v>
      </c>
      <c r="F9" s="201">
        <f>+РФФПП!G8</f>
        <v>962.4673790352577</v>
      </c>
      <c r="G9" s="208">
        <f t="shared" si="0"/>
        <v>962.4673790352577</v>
      </c>
      <c r="H9" s="208">
        <f t="shared" si="1"/>
        <v>962.4673790352577</v>
      </c>
      <c r="K9" s="158"/>
    </row>
    <row r="10" spans="1:11" ht="21" customHeight="1">
      <c r="A10" s="40">
        <v>5</v>
      </c>
      <c r="B10" s="41" t="s">
        <v>121</v>
      </c>
      <c r="C10" s="201">
        <f>+'субв от числ уточ'!D10</f>
        <v>1515.957666568577</v>
      </c>
      <c r="D10" s="201">
        <f>+'субв от числ уточ'!E10</f>
        <v>1576.7054871417604</v>
      </c>
      <c r="E10" s="201">
        <f>+'субв от числ уточ'!F10</f>
        <v>1576.7054871417604</v>
      </c>
      <c r="F10" s="201">
        <f>+РФФПП!G9</f>
        <v>636.9647735305739</v>
      </c>
      <c r="G10" s="208">
        <f t="shared" si="0"/>
        <v>636.9647735305739</v>
      </c>
      <c r="H10" s="208">
        <f t="shared" si="1"/>
        <v>636.9647735305739</v>
      </c>
      <c r="K10" s="158"/>
    </row>
    <row r="11" spans="1:11" ht="21" customHeight="1">
      <c r="A11" s="40">
        <v>6</v>
      </c>
      <c r="B11" s="41" t="s">
        <v>122</v>
      </c>
      <c r="C11" s="201">
        <f>+'субв от числ уточ'!D11</f>
        <v>1735.1404401228249</v>
      </c>
      <c r="D11" s="201">
        <f>+'субв от числ уточ'!E11</f>
        <v>1804.6724769703171</v>
      </c>
      <c r="E11" s="201">
        <f>+'субв от числ уточ'!F11</f>
        <v>1804.6724769703171</v>
      </c>
      <c r="F11" s="201">
        <f>+РФФПП!G10</f>
        <v>309.7569575639644</v>
      </c>
      <c r="G11" s="208">
        <f t="shared" si="0"/>
        <v>309.7569575639644</v>
      </c>
      <c r="H11" s="208">
        <f t="shared" si="1"/>
        <v>309.7569575639644</v>
      </c>
      <c r="K11" s="158"/>
    </row>
    <row r="12" spans="1:11" ht="21" customHeight="1">
      <c r="A12" s="40">
        <v>7</v>
      </c>
      <c r="B12" s="41" t="s">
        <v>123</v>
      </c>
      <c r="C12" s="201">
        <f>+'субв от числ уточ'!D12</f>
        <v>809.5285504094165</v>
      </c>
      <c r="D12" s="201">
        <f>+'субв от числ уточ'!E12</f>
        <v>841.9686732343908</v>
      </c>
      <c r="E12" s="201">
        <f>+'субв от числ уточ'!F12</f>
        <v>841.9686732343908</v>
      </c>
      <c r="F12" s="201">
        <f>+РФФПП!G11</f>
        <v>772.8232610374259</v>
      </c>
      <c r="G12" s="208">
        <f t="shared" si="0"/>
        <v>772.8232610374259</v>
      </c>
      <c r="H12" s="208">
        <f t="shared" si="1"/>
        <v>772.8232610374259</v>
      </c>
      <c r="K12" s="158"/>
    </row>
    <row r="13" spans="1:11" ht="21" customHeight="1">
      <c r="A13" s="40">
        <v>8</v>
      </c>
      <c r="B13" s="41" t="s">
        <v>124</v>
      </c>
      <c r="C13" s="201">
        <f>+'субв от числ уточ'!D13</f>
        <v>1268.8978174577787</v>
      </c>
      <c r="D13" s="201">
        <f>+'субв от числ уточ'!E13</f>
        <v>1319.7461797914532</v>
      </c>
      <c r="E13" s="201">
        <f>+'субв от числ уточ'!F13</f>
        <v>1319.7461797914532</v>
      </c>
      <c r="F13" s="201">
        <f>+РФФПП!G12</f>
        <v>265.7098492797386</v>
      </c>
      <c r="G13" s="208">
        <f t="shared" si="0"/>
        <v>265.7098492797386</v>
      </c>
      <c r="H13" s="208">
        <f t="shared" si="1"/>
        <v>265.7098492797386</v>
      </c>
      <c r="K13" s="158"/>
    </row>
    <row r="14" spans="1:11" ht="21" customHeight="1">
      <c r="A14" s="40"/>
      <c r="B14" s="44" t="s">
        <v>14</v>
      </c>
      <c r="C14" s="210">
        <f>SUM(C6:C13)-0.001</f>
        <v>11938.254895445</v>
      </c>
      <c r="D14" s="210">
        <f>SUM(D6:D13)-0.001</f>
        <v>12416.654999999997</v>
      </c>
      <c r="E14" s="210">
        <f>SUM(E6:E13)-0.001</f>
        <v>12416.655004567998</v>
      </c>
      <c r="F14" s="210">
        <f>SUM(F6:F13)</f>
        <v>4999.99999023346</v>
      </c>
      <c r="G14" s="210">
        <f>SUM(G6:G13)</f>
        <v>4999.99999023346</v>
      </c>
      <c r="H14" s="210">
        <f>SUM(H6:H13)</f>
        <v>4999.99999023346</v>
      </c>
      <c r="K14" s="158"/>
    </row>
    <row r="15" spans="2:8" ht="12.75">
      <c r="B15" s="39"/>
      <c r="C15" s="189"/>
      <c r="D15" s="39"/>
      <c r="E15" s="190"/>
      <c r="F15" s="189"/>
      <c r="G15" s="39"/>
      <c r="H15" s="190"/>
    </row>
    <row r="16" spans="2:14" ht="24.75" customHeight="1">
      <c r="B16" s="39"/>
      <c r="C16" s="211">
        <v>2336.653</v>
      </c>
      <c r="D16" s="211">
        <v>2380.987</v>
      </c>
      <c r="E16" s="211">
        <v>2475.87</v>
      </c>
      <c r="F16" s="211">
        <v>452.4656</v>
      </c>
      <c r="G16" s="211">
        <v>452.4655616283028</v>
      </c>
      <c r="H16" s="211">
        <v>452.4655616283028</v>
      </c>
      <c r="I16" s="212"/>
      <c r="J16" s="212"/>
      <c r="K16" s="212"/>
      <c r="L16" s="212"/>
      <c r="M16" s="212"/>
      <c r="N16" s="212"/>
    </row>
    <row r="17" spans="3:14" ht="12.75">
      <c r="C17" s="158">
        <v>2091.907</v>
      </c>
      <c r="D17" s="158">
        <v>2131.596</v>
      </c>
      <c r="E17" s="158">
        <v>2216.541</v>
      </c>
      <c r="F17" s="158">
        <v>406.0458</v>
      </c>
      <c r="G17" s="158">
        <v>406.045760948724</v>
      </c>
      <c r="H17" s="158">
        <v>406.045760948724</v>
      </c>
      <c r="I17" s="212"/>
      <c r="J17" s="212"/>
      <c r="K17" s="212"/>
      <c r="L17" s="212"/>
      <c r="M17" s="212"/>
      <c r="N17" s="212"/>
    </row>
    <row r="18" spans="3:14" ht="12.75">
      <c r="C18" s="158">
        <v>1497.469</v>
      </c>
      <c r="D18" s="158">
        <v>1525.88</v>
      </c>
      <c r="E18" s="158">
        <v>1586.687</v>
      </c>
      <c r="F18" s="158">
        <v>1156.9309</v>
      </c>
      <c r="G18" s="158">
        <v>1156.9309378380112</v>
      </c>
      <c r="H18" s="158">
        <v>1156.9309378380112</v>
      </c>
      <c r="I18" s="212"/>
      <c r="J18" s="212"/>
      <c r="K18" s="212"/>
      <c r="L18" s="212"/>
      <c r="M18" s="212"/>
      <c r="N18" s="212"/>
    </row>
    <row r="19" spans="3:14" ht="12.75">
      <c r="C19" s="158">
        <v>585.998</v>
      </c>
      <c r="D19" s="158">
        <v>597.117</v>
      </c>
      <c r="E19" s="158">
        <v>620.913</v>
      </c>
      <c r="F19" s="158">
        <v>966.4856</v>
      </c>
      <c r="G19" s="158">
        <v>966.4853047822339</v>
      </c>
      <c r="H19" s="158">
        <v>966.4853047822339</v>
      </c>
      <c r="I19" s="212"/>
      <c r="J19" s="212"/>
      <c r="K19" s="212"/>
      <c r="L19" s="212"/>
      <c r="M19" s="212"/>
      <c r="N19" s="212"/>
    </row>
    <row r="20" spans="3:14" ht="12.75">
      <c r="C20" s="158">
        <v>1503.708</v>
      </c>
      <c r="D20" s="158">
        <v>1532.237</v>
      </c>
      <c r="E20" s="158">
        <v>1593.297</v>
      </c>
      <c r="F20" s="158">
        <v>720.3075</v>
      </c>
      <c r="G20" s="158">
        <v>720.3073492637827</v>
      </c>
      <c r="H20" s="158">
        <v>720.3073492637827</v>
      </c>
      <c r="I20" s="212"/>
      <c r="J20" s="212"/>
      <c r="K20" s="212"/>
      <c r="L20" s="212"/>
      <c r="M20" s="212"/>
      <c r="N20" s="212"/>
    </row>
    <row r="21" spans="3:14" ht="12.75">
      <c r="C21" s="158">
        <v>1713.228</v>
      </c>
      <c r="D21" s="158">
        <v>1745.733</v>
      </c>
      <c r="E21" s="158">
        <v>1815.301</v>
      </c>
      <c r="F21" s="158">
        <v>316.9179</v>
      </c>
      <c r="G21" s="158">
        <v>316.9187874154198</v>
      </c>
      <c r="H21" s="158">
        <v>316.9187874154198</v>
      </c>
      <c r="I21" s="212"/>
      <c r="J21" s="212"/>
      <c r="K21" s="212"/>
      <c r="L21" s="212"/>
      <c r="M21" s="212"/>
      <c r="N21" s="212"/>
    </row>
    <row r="22" spans="3:14" ht="12.75">
      <c r="C22" s="158">
        <v>813.132</v>
      </c>
      <c r="D22" s="158">
        <v>828.559</v>
      </c>
      <c r="E22" s="158">
        <v>861.578</v>
      </c>
      <c r="F22" s="158">
        <v>739.4078</v>
      </c>
      <c r="G22" s="158">
        <v>739.407747959265</v>
      </c>
      <c r="H22" s="158">
        <v>739.407747959265</v>
      </c>
      <c r="I22" s="212"/>
      <c r="J22" s="212"/>
      <c r="K22" s="212"/>
      <c r="L22" s="212"/>
      <c r="M22" s="212"/>
      <c r="N22" s="212"/>
    </row>
    <row r="23" spans="3:14" ht="12.75">
      <c r="C23" s="158">
        <v>1258.96</v>
      </c>
      <c r="D23" s="158">
        <v>1282.846</v>
      </c>
      <c r="E23" s="158">
        <v>1333.968</v>
      </c>
      <c r="F23" s="158">
        <v>241.4387</v>
      </c>
      <c r="G23" s="158">
        <v>241.43854039772023</v>
      </c>
      <c r="H23" s="158">
        <v>241.43854039772023</v>
      </c>
      <c r="I23" s="212"/>
      <c r="J23" s="212"/>
      <c r="K23" s="212"/>
      <c r="L23" s="212"/>
      <c r="M23" s="212"/>
      <c r="N23" s="212"/>
    </row>
    <row r="24" spans="3:14" ht="12.75">
      <c r="C24" s="158">
        <f aca="true" t="shared" si="2" ref="C24:H24">SUM(C16:C23)</f>
        <v>11801.055</v>
      </c>
      <c r="D24" s="158">
        <f t="shared" si="2"/>
        <v>12024.955</v>
      </c>
      <c r="E24" s="158">
        <f t="shared" si="2"/>
        <v>12504.155</v>
      </c>
      <c r="F24" s="158">
        <f t="shared" si="2"/>
        <v>4999.9998</v>
      </c>
      <c r="G24" s="158">
        <f t="shared" si="2"/>
        <v>4999.99999023346</v>
      </c>
      <c r="H24" s="158">
        <f t="shared" si="2"/>
        <v>4999.99999023346</v>
      </c>
      <c r="I24" s="212"/>
      <c r="J24" s="212"/>
      <c r="K24" s="212"/>
      <c r="L24" s="212"/>
      <c r="M24" s="212"/>
      <c r="N24" s="212"/>
    </row>
  </sheetData>
  <sheetProtection/>
  <mergeCells count="5">
    <mergeCell ref="C4:E4"/>
    <mergeCell ref="F4:H4"/>
    <mergeCell ref="A2:H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375" style="37" customWidth="1"/>
    <col min="2" max="2" width="41.875" style="37" customWidth="1"/>
    <col min="3" max="4" width="21.625" style="37" customWidth="1"/>
    <col min="5" max="5" width="14.375" style="37" customWidth="1"/>
    <col min="6" max="6" width="13.25390625" style="37" customWidth="1"/>
    <col min="7" max="16384" width="9.125" style="37" customWidth="1"/>
  </cols>
  <sheetData>
    <row r="1" spans="1:4" ht="15.75">
      <c r="A1" s="15"/>
      <c r="B1" s="15"/>
      <c r="C1" s="15"/>
      <c r="D1" s="55" t="s">
        <v>142</v>
      </c>
    </row>
    <row r="2" spans="1:4" ht="67.5" customHeight="1">
      <c r="A2" s="223" t="s">
        <v>173</v>
      </c>
      <c r="B2" s="223"/>
      <c r="C2" s="223"/>
      <c r="D2" s="223"/>
    </row>
    <row r="3" ht="27.75" customHeight="1"/>
    <row r="4" spans="1:6" s="54" customFormat="1" ht="51">
      <c r="A4" s="52" t="s">
        <v>0</v>
      </c>
      <c r="B4" s="52" t="s">
        <v>1</v>
      </c>
      <c r="C4" s="52" t="s">
        <v>12</v>
      </c>
      <c r="D4" s="52" t="s">
        <v>61</v>
      </c>
      <c r="E4" s="53"/>
      <c r="F4" s="53"/>
    </row>
    <row r="5" spans="1:4" ht="18.75" customHeight="1">
      <c r="A5" s="40">
        <v>1</v>
      </c>
      <c r="B5" s="41" t="s">
        <v>117</v>
      </c>
      <c r="C5" s="42">
        <v>6226</v>
      </c>
      <c r="D5" s="43">
        <f>(0.6*C5+0.4*C14)/C5</f>
        <v>0.8510761323482172</v>
      </c>
    </row>
    <row r="6" spans="1:4" ht="18.75" customHeight="1">
      <c r="A6" s="40">
        <v>2</v>
      </c>
      <c r="B6" s="41" t="s">
        <v>118</v>
      </c>
      <c r="C6" s="42">
        <v>5566</v>
      </c>
      <c r="D6" s="43">
        <f>(0.6*C6+0.4*C14)/C6</f>
        <v>0.8808480057491915</v>
      </c>
    </row>
    <row r="7" spans="1:4" ht="18.75" customHeight="1">
      <c r="A7" s="40">
        <v>3</v>
      </c>
      <c r="B7" s="41" t="s">
        <v>119</v>
      </c>
      <c r="C7" s="42">
        <v>3986</v>
      </c>
      <c r="D7" s="43">
        <f>(0.6*C7+0.4*C14)/C7</f>
        <v>0.9921726041144004</v>
      </c>
    </row>
    <row r="8" spans="1:4" ht="18.75" customHeight="1">
      <c r="A8" s="40">
        <v>4</v>
      </c>
      <c r="B8" s="41" t="s">
        <v>120</v>
      </c>
      <c r="C8" s="42">
        <v>1529</v>
      </c>
      <c r="D8" s="43">
        <f>(0.6*C8+0.4*C14)/C8</f>
        <v>1.6223675604970569</v>
      </c>
    </row>
    <row r="9" spans="1:4" ht="18.75" customHeight="1">
      <c r="A9" s="40">
        <v>5</v>
      </c>
      <c r="B9" s="41" t="s">
        <v>121</v>
      </c>
      <c r="C9" s="42">
        <v>3970</v>
      </c>
      <c r="D9" s="43">
        <f>(0.6*C9+0.4*C14)/C9</f>
        <v>0.9937531486146095</v>
      </c>
    </row>
    <row r="10" spans="1:4" ht="18.75" customHeight="1">
      <c r="A10" s="40">
        <v>6</v>
      </c>
      <c r="B10" s="41" t="s">
        <v>122</v>
      </c>
      <c r="C10" s="42">
        <v>4544</v>
      </c>
      <c r="D10" s="43">
        <f>(0.6*C10+0.4*C14)/C10</f>
        <v>0.9440140845070424</v>
      </c>
    </row>
    <row r="11" spans="1:4" ht="18.75" customHeight="1">
      <c r="A11" s="40">
        <v>7</v>
      </c>
      <c r="B11" s="41" t="s">
        <v>123</v>
      </c>
      <c r="C11" s="42">
        <v>2120</v>
      </c>
      <c r="D11" s="43">
        <f>(0.6*C11+0.4*C14)/C11</f>
        <v>1.3373584905660376</v>
      </c>
    </row>
    <row r="12" spans="1:4" ht="18.75" customHeight="1">
      <c r="A12" s="40">
        <v>8</v>
      </c>
      <c r="B12" s="41" t="s">
        <v>124</v>
      </c>
      <c r="C12" s="42">
        <v>3323</v>
      </c>
      <c r="D12" s="43">
        <f>(0.6*C12+0.4*C14)/C12</f>
        <v>1.0704182967198315</v>
      </c>
    </row>
    <row r="13" spans="1:4" ht="18.75" customHeight="1">
      <c r="A13" s="40"/>
      <c r="B13" s="44" t="s">
        <v>63</v>
      </c>
      <c r="C13" s="45">
        <f>SUM(C5:C12)</f>
        <v>31264</v>
      </c>
      <c r="D13" s="46">
        <f>(0.6*C13+0.4*C14)/C13</f>
        <v>0.6499999999999999</v>
      </c>
    </row>
    <row r="14" spans="1:4" ht="18.75" customHeight="1">
      <c r="A14" s="40"/>
      <c r="B14" s="44" t="s">
        <v>2</v>
      </c>
      <c r="C14" s="47">
        <f>C13/8</f>
        <v>3908</v>
      </c>
      <c r="D14" s="40"/>
    </row>
    <row r="15" ht="12.75">
      <c r="B15" s="39"/>
    </row>
    <row r="16" ht="20.25" customHeight="1">
      <c r="B16" s="39"/>
    </row>
  </sheetData>
  <sheetProtection/>
  <mergeCells count="1">
    <mergeCell ref="A2:D2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6.25390625" style="37" customWidth="1"/>
    <col min="2" max="2" width="35.25390625" style="37" customWidth="1"/>
    <col min="3" max="3" width="18.00390625" style="37" customWidth="1"/>
    <col min="4" max="4" width="16.00390625" style="37" customWidth="1"/>
    <col min="5" max="16384" width="9.125" style="37" customWidth="1"/>
  </cols>
  <sheetData>
    <row r="1" spans="1:4" ht="15.75">
      <c r="A1" s="15"/>
      <c r="B1" s="15"/>
      <c r="C1" s="15"/>
      <c r="D1" s="55" t="s">
        <v>143</v>
      </c>
    </row>
    <row r="2" spans="1:4" ht="15.75">
      <c r="A2" s="15"/>
      <c r="B2" s="15"/>
      <c r="C2" s="15"/>
      <c r="D2" s="15"/>
    </row>
    <row r="3" spans="1:4" ht="79.5" customHeight="1">
      <c r="A3" s="224" t="s">
        <v>174</v>
      </c>
      <c r="B3" s="224"/>
      <c r="C3" s="224"/>
      <c r="D3" s="224"/>
    </row>
    <row r="4" spans="1:4" ht="12.75">
      <c r="A4" s="67"/>
      <c r="B4" s="67"/>
      <c r="C4" s="67"/>
      <c r="D4" s="67"/>
    </row>
    <row r="5" spans="1:4" s="51" customFormat="1" ht="50.25" customHeight="1">
      <c r="A5" s="57" t="s">
        <v>16</v>
      </c>
      <c r="B5" s="57" t="s">
        <v>15</v>
      </c>
      <c r="C5" s="52" t="s">
        <v>175</v>
      </c>
      <c r="D5" s="52" t="s">
        <v>60</v>
      </c>
    </row>
    <row r="6" spans="1:4" ht="12.75">
      <c r="A6" s="47">
        <v>1</v>
      </c>
      <c r="B6" s="41" t="s">
        <v>117</v>
      </c>
      <c r="C6" s="58">
        <v>6226</v>
      </c>
      <c r="D6" s="59">
        <f>(D7/C6)+1</f>
        <v>1.1532283970446515</v>
      </c>
    </row>
    <row r="7" spans="1:4" ht="12.75">
      <c r="A7" s="47"/>
      <c r="B7" s="41"/>
      <c r="C7" s="58"/>
      <c r="D7" s="58">
        <f>493+11+98+277+75</f>
        <v>954</v>
      </c>
    </row>
    <row r="8" spans="1:4" ht="12.75">
      <c r="A8" s="47">
        <v>2</v>
      </c>
      <c r="B8" s="41" t="s">
        <v>118</v>
      </c>
      <c r="C8" s="58">
        <v>5566</v>
      </c>
      <c r="D8" s="59">
        <f>(D9/C8)+1</f>
        <v>1.0395256916996047</v>
      </c>
    </row>
    <row r="9" spans="1:4" ht="12.75">
      <c r="A9" s="47"/>
      <c r="B9" s="41"/>
      <c r="C9" s="58"/>
      <c r="D9" s="58">
        <v>220</v>
      </c>
    </row>
    <row r="10" spans="1:4" ht="12.75">
      <c r="A10" s="47">
        <v>3</v>
      </c>
      <c r="B10" s="41" t="s">
        <v>119</v>
      </c>
      <c r="C10" s="58">
        <v>3986</v>
      </c>
      <c r="D10" s="59">
        <f>(D11/C10)+1</f>
        <v>1.378073256397391</v>
      </c>
    </row>
    <row r="11" spans="1:4" ht="12.75">
      <c r="A11" s="47"/>
      <c r="B11" s="41"/>
      <c r="C11" s="58"/>
      <c r="D11" s="58">
        <f>299+391+162+294+361</f>
        <v>1507</v>
      </c>
    </row>
    <row r="12" spans="1:4" ht="12.75">
      <c r="A12" s="47">
        <v>4</v>
      </c>
      <c r="B12" s="41" t="s">
        <v>120</v>
      </c>
      <c r="C12" s="58">
        <v>1529</v>
      </c>
      <c r="D12" s="59">
        <f>(D13/C12)+1</f>
        <v>1.512099411379987</v>
      </c>
    </row>
    <row r="13" spans="1:4" ht="12.75">
      <c r="A13" s="47"/>
      <c r="B13" s="41"/>
      <c r="C13" s="58"/>
      <c r="D13" s="58">
        <f>148+167+239+61+15+64+39+50</f>
        <v>783</v>
      </c>
    </row>
    <row r="14" spans="1:4" ht="12.75">
      <c r="A14" s="47">
        <v>5</v>
      </c>
      <c r="B14" s="41" t="s">
        <v>121</v>
      </c>
      <c r="C14" s="58">
        <v>3970</v>
      </c>
      <c r="D14" s="59">
        <f>(D15/C14)+1</f>
        <v>1.1350125944584384</v>
      </c>
    </row>
    <row r="15" spans="1:4" ht="12.75">
      <c r="A15" s="47"/>
      <c r="B15" s="41"/>
      <c r="C15" s="58"/>
      <c r="D15" s="58">
        <f>70+263+203</f>
        <v>536</v>
      </c>
    </row>
    <row r="16" spans="1:4" ht="12.75">
      <c r="A16" s="47">
        <v>6</v>
      </c>
      <c r="B16" s="41" t="s">
        <v>122</v>
      </c>
      <c r="C16" s="58">
        <v>4544</v>
      </c>
      <c r="D16" s="59">
        <f>(D17/C16)+1</f>
        <v>1.345730633802817</v>
      </c>
    </row>
    <row r="17" spans="1:4" ht="12.75">
      <c r="A17" s="47"/>
      <c r="B17" s="41"/>
      <c r="C17" s="58"/>
      <c r="D17" s="58">
        <f>263+263+343+244+224+234</f>
        <v>1571</v>
      </c>
    </row>
    <row r="18" spans="1:4" ht="12.75">
      <c r="A18" s="47">
        <v>7</v>
      </c>
      <c r="B18" s="41" t="s">
        <v>123</v>
      </c>
      <c r="C18" s="58">
        <v>2120</v>
      </c>
      <c r="D18" s="59">
        <f>(D19/C18)+1</f>
        <v>1.0764150943396227</v>
      </c>
    </row>
    <row r="19" spans="1:4" ht="12.75">
      <c r="A19" s="47"/>
      <c r="B19" s="41"/>
      <c r="C19" s="58"/>
      <c r="D19" s="58">
        <f>148+14</f>
        <v>162</v>
      </c>
    </row>
    <row r="20" spans="1:4" ht="12.75">
      <c r="A20" s="47">
        <v>8</v>
      </c>
      <c r="B20" s="41" t="s">
        <v>124</v>
      </c>
      <c r="C20" s="58">
        <v>3323</v>
      </c>
      <c r="D20" s="59">
        <f>(D21/C20)+1</f>
        <v>1.1658140234727656</v>
      </c>
    </row>
    <row r="21" spans="1:4" ht="12.75">
      <c r="A21" s="47"/>
      <c r="B21" s="47"/>
      <c r="C21" s="44"/>
      <c r="D21" s="58">
        <f>116+147+75+33+180</f>
        <v>551</v>
      </c>
    </row>
    <row r="22" spans="1:4" ht="12.75" hidden="1">
      <c r="A22" s="47"/>
      <c r="B22" s="47"/>
      <c r="C22" s="44"/>
      <c r="D22" s="44"/>
    </row>
    <row r="23" spans="1:4" ht="12.75" hidden="1">
      <c r="A23" s="47"/>
      <c r="B23" s="47"/>
      <c r="C23" s="44"/>
      <c r="D23" s="44"/>
    </row>
    <row r="24" spans="1:4" ht="12.75" hidden="1">
      <c r="A24" s="47"/>
      <c r="B24" s="47"/>
      <c r="C24" s="44"/>
      <c r="D24" s="44"/>
    </row>
    <row r="25" spans="1:4" ht="12.75" hidden="1">
      <c r="A25" s="47"/>
      <c r="B25" s="47"/>
      <c r="C25" s="44"/>
      <c r="D25" s="44"/>
    </row>
    <row r="26" spans="1:4" ht="12.75" hidden="1">
      <c r="A26" s="47"/>
      <c r="B26" s="47"/>
      <c r="C26" s="44"/>
      <c r="D26" s="44"/>
    </row>
    <row r="27" spans="1:4" ht="12.75" hidden="1">
      <c r="A27" s="47"/>
      <c r="B27" s="47"/>
      <c r="C27" s="44"/>
      <c r="D27" s="44"/>
    </row>
    <row r="28" spans="1:4" ht="12.75" hidden="1">
      <c r="A28" s="47"/>
      <c r="B28" s="47"/>
      <c r="C28" s="44"/>
      <c r="D28" s="44"/>
    </row>
    <row r="29" spans="1:4" ht="12.75" hidden="1">
      <c r="A29" s="47"/>
      <c r="B29" s="47"/>
      <c r="C29" s="44"/>
      <c r="D29" s="44"/>
    </row>
    <row r="30" spans="1:4" ht="12.75" hidden="1">
      <c r="A30" s="47"/>
      <c r="B30" s="47"/>
      <c r="C30" s="44"/>
      <c r="D30" s="44"/>
    </row>
    <row r="31" spans="1:4" ht="12.75" hidden="1">
      <c r="A31" s="47"/>
      <c r="B31" s="47"/>
      <c r="C31" s="44"/>
      <c r="D31" s="44"/>
    </row>
    <row r="32" spans="1:4" ht="12.75" hidden="1">
      <c r="A32" s="47"/>
      <c r="B32" s="47"/>
      <c r="C32" s="44"/>
      <c r="D32" s="44"/>
    </row>
    <row r="33" spans="1:4" ht="12.75" hidden="1">
      <c r="A33" s="47"/>
      <c r="B33" s="47"/>
      <c r="C33" s="44"/>
      <c r="D33" s="44"/>
    </row>
    <row r="34" spans="1:4" ht="12.75" hidden="1">
      <c r="A34" s="47"/>
      <c r="B34" s="47"/>
      <c r="C34" s="44"/>
      <c r="D34" s="44"/>
    </row>
    <row r="35" spans="1:4" ht="12.75" hidden="1">
      <c r="A35" s="47"/>
      <c r="B35" s="47"/>
      <c r="C35" s="44"/>
      <c r="D35" s="44"/>
    </row>
    <row r="36" spans="1:4" ht="12.75" hidden="1">
      <c r="A36" s="47"/>
      <c r="B36" s="47"/>
      <c r="C36" s="44"/>
      <c r="D36" s="44"/>
    </row>
    <row r="37" spans="1:4" ht="12.75" hidden="1">
      <c r="A37" s="47"/>
      <c r="B37" s="47"/>
      <c r="C37" s="44"/>
      <c r="D37" s="44"/>
    </row>
    <row r="38" spans="1:4" ht="12.75" hidden="1">
      <c r="A38" s="47">
        <v>1</v>
      </c>
      <c r="B38" s="47" t="s">
        <v>3</v>
      </c>
      <c r="C38" s="47">
        <f>C39+C40+C41</f>
        <v>12741</v>
      </c>
      <c r="D38" s="60">
        <f>(D39/C38)+1</f>
        <v>1.0166391962954242</v>
      </c>
    </row>
    <row r="39" spans="1:4" ht="12.75" hidden="1">
      <c r="A39" s="40"/>
      <c r="B39" s="61" t="s">
        <v>23</v>
      </c>
      <c r="C39" s="40">
        <v>11492</v>
      </c>
      <c r="D39" s="40">
        <f>C41</f>
        <v>212</v>
      </c>
    </row>
    <row r="40" spans="1:4" ht="12.75" hidden="1">
      <c r="A40" s="40"/>
      <c r="B40" s="40" t="s">
        <v>17</v>
      </c>
      <c r="C40" s="40">
        <v>1037</v>
      </c>
      <c r="D40" s="40"/>
    </row>
    <row r="41" spans="1:4" ht="12.75" hidden="1">
      <c r="A41" s="40"/>
      <c r="B41" s="40" t="s">
        <v>62</v>
      </c>
      <c r="C41" s="40">
        <v>212</v>
      </c>
      <c r="D41" s="40"/>
    </row>
    <row r="42" spans="1:4" ht="12.75" hidden="1">
      <c r="A42" s="47">
        <v>2</v>
      </c>
      <c r="B42" s="47" t="s">
        <v>4</v>
      </c>
      <c r="C42" s="47">
        <f>C43+C44+C45</f>
        <v>7900</v>
      </c>
      <c r="D42" s="47">
        <v>1</v>
      </c>
    </row>
    <row r="43" spans="1:4" ht="12.75" hidden="1">
      <c r="A43" s="40"/>
      <c r="B43" s="61" t="s">
        <v>25</v>
      </c>
      <c r="C43" s="40">
        <v>6161</v>
      </c>
      <c r="D43" s="40"/>
    </row>
    <row r="44" spans="1:4" ht="12.75" hidden="1">
      <c r="A44" s="40"/>
      <c r="B44" s="40" t="s">
        <v>18</v>
      </c>
      <c r="C44" s="40">
        <v>1170</v>
      </c>
      <c r="D44" s="40"/>
    </row>
    <row r="45" spans="1:4" ht="12.75" hidden="1">
      <c r="A45" s="40"/>
      <c r="B45" s="40" t="s">
        <v>19</v>
      </c>
      <c r="C45" s="40">
        <v>569</v>
      </c>
      <c r="D45" s="40"/>
    </row>
    <row r="46" spans="1:4" ht="12.75" hidden="1">
      <c r="A46" s="47">
        <v>3</v>
      </c>
      <c r="B46" s="47" t="s">
        <v>5</v>
      </c>
      <c r="C46" s="47">
        <f>C47+C48+C49+C50+C51+C52+C53+C54+C55</f>
        <v>1747</v>
      </c>
      <c r="D46" s="60">
        <f>(D47/C46)+1</f>
        <v>2</v>
      </c>
    </row>
    <row r="47" spans="1:4" ht="12.75" hidden="1">
      <c r="A47" s="40"/>
      <c r="B47" s="40" t="s">
        <v>20</v>
      </c>
      <c r="C47" s="40">
        <v>338</v>
      </c>
      <c r="D47" s="40">
        <f>C47+C48+C49+C50+C51+C53+C54+C55+C52</f>
        <v>1747</v>
      </c>
    </row>
    <row r="48" spans="1:4" ht="12.75" hidden="1">
      <c r="A48" s="40"/>
      <c r="B48" s="40" t="s">
        <v>21</v>
      </c>
      <c r="C48" s="40">
        <v>32</v>
      </c>
      <c r="D48" s="40"/>
    </row>
    <row r="49" spans="1:4" ht="12.75" hidden="1">
      <c r="A49" s="40"/>
      <c r="B49" s="40" t="s">
        <v>22</v>
      </c>
      <c r="C49" s="40">
        <v>43</v>
      </c>
      <c r="D49" s="40"/>
    </row>
    <row r="50" spans="1:4" ht="12.75" hidden="1">
      <c r="A50" s="40"/>
      <c r="B50" s="61" t="s">
        <v>24</v>
      </c>
      <c r="C50" s="40">
        <v>374</v>
      </c>
      <c r="D50" s="40"/>
    </row>
    <row r="51" spans="1:4" ht="12.75" hidden="1">
      <c r="A51" s="40"/>
      <c r="B51" s="40" t="s">
        <v>26</v>
      </c>
      <c r="C51" s="40">
        <v>324</v>
      </c>
      <c r="D51" s="40"/>
    </row>
    <row r="52" spans="1:4" ht="12.75" hidden="1">
      <c r="A52" s="40"/>
      <c r="B52" s="40" t="s">
        <v>27</v>
      </c>
      <c r="C52" s="40">
        <v>504</v>
      </c>
      <c r="D52" s="40"/>
    </row>
    <row r="53" spans="1:4" ht="12.75" hidden="1">
      <c r="A53" s="40"/>
      <c r="B53" s="40" t="s">
        <v>28</v>
      </c>
      <c r="C53" s="40">
        <v>112</v>
      </c>
      <c r="D53" s="40"/>
    </row>
    <row r="54" spans="1:4" ht="12.75" hidden="1">
      <c r="A54" s="40"/>
      <c r="B54" s="40" t="s">
        <v>29</v>
      </c>
      <c r="C54" s="40">
        <v>18</v>
      </c>
      <c r="D54" s="40"/>
    </row>
    <row r="55" spans="1:4" ht="12.75" hidden="1">
      <c r="A55" s="40"/>
      <c r="B55" s="40" t="s">
        <v>30</v>
      </c>
      <c r="C55" s="40">
        <v>2</v>
      </c>
      <c r="D55" s="40"/>
    </row>
    <row r="56" spans="1:4" ht="12.75" hidden="1">
      <c r="A56" s="47">
        <v>4</v>
      </c>
      <c r="B56" s="47" t="s">
        <v>6</v>
      </c>
      <c r="C56" s="47">
        <f>C57+C58+C59+C60+C61+C62</f>
        <v>1456</v>
      </c>
      <c r="D56" s="60">
        <f>(D57/C56)+1</f>
        <v>1.6146978021978022</v>
      </c>
    </row>
    <row r="57" spans="1:4" ht="12.75" hidden="1">
      <c r="A57" s="40"/>
      <c r="B57" s="61" t="s">
        <v>31</v>
      </c>
      <c r="C57" s="40">
        <v>561</v>
      </c>
      <c r="D57" s="40">
        <f>C58+C59+C60+C61+C62</f>
        <v>895</v>
      </c>
    </row>
    <row r="58" spans="1:4" ht="12.75" hidden="1">
      <c r="A58" s="40"/>
      <c r="B58" s="40" t="s">
        <v>32</v>
      </c>
      <c r="C58" s="40">
        <v>394</v>
      </c>
      <c r="D58" s="40"/>
    </row>
    <row r="59" spans="1:4" ht="12.75" hidden="1">
      <c r="A59" s="40"/>
      <c r="B59" s="40" t="s">
        <v>33</v>
      </c>
      <c r="C59" s="40">
        <v>40</v>
      </c>
      <c r="D59" s="40"/>
    </row>
    <row r="60" spans="1:4" ht="12.75" hidden="1">
      <c r="A60" s="40"/>
      <c r="B60" s="40" t="s">
        <v>34</v>
      </c>
      <c r="C60" s="40">
        <v>368</v>
      </c>
      <c r="D60" s="40"/>
    </row>
    <row r="61" spans="1:4" ht="12.75" hidden="1">
      <c r="A61" s="40"/>
      <c r="B61" s="40" t="s">
        <v>35</v>
      </c>
      <c r="C61" s="40">
        <v>93</v>
      </c>
      <c r="D61" s="40"/>
    </row>
    <row r="62" spans="1:4" ht="12.75" hidden="1">
      <c r="A62" s="40"/>
      <c r="B62" s="40" t="s">
        <v>36</v>
      </c>
      <c r="C62" s="40">
        <v>0</v>
      </c>
      <c r="D62" s="40"/>
    </row>
    <row r="63" spans="1:4" ht="12.75" hidden="1">
      <c r="A63" s="47">
        <v>5</v>
      </c>
      <c r="B63" s="47" t="s">
        <v>7</v>
      </c>
      <c r="C63" s="47">
        <f>C64+C65+C66+C67</f>
        <v>2260</v>
      </c>
      <c r="D63" s="60">
        <f>(D64/C63)+1</f>
        <v>1.311061946902655</v>
      </c>
    </row>
    <row r="64" spans="1:4" ht="12.75" hidden="1">
      <c r="A64" s="40"/>
      <c r="B64" s="61" t="s">
        <v>37</v>
      </c>
      <c r="C64" s="40">
        <v>1557</v>
      </c>
      <c r="D64" s="40">
        <f>C65+C66+C67</f>
        <v>703</v>
      </c>
    </row>
    <row r="65" spans="1:4" ht="12.75" hidden="1">
      <c r="A65" s="40"/>
      <c r="B65" s="40" t="s">
        <v>38</v>
      </c>
      <c r="C65" s="40">
        <v>30</v>
      </c>
      <c r="D65" s="40"/>
    </row>
    <row r="66" spans="1:4" ht="12.75" hidden="1">
      <c r="A66" s="40"/>
      <c r="B66" s="40" t="s">
        <v>39</v>
      </c>
      <c r="C66" s="40">
        <v>302</v>
      </c>
      <c r="D66" s="40"/>
    </row>
    <row r="67" spans="1:4" ht="12.75" hidden="1">
      <c r="A67" s="40"/>
      <c r="B67" s="40" t="s">
        <v>58</v>
      </c>
      <c r="C67" s="40">
        <v>371</v>
      </c>
      <c r="D67" s="40"/>
    </row>
    <row r="68" spans="1:4" ht="12.75" hidden="1">
      <c r="A68" s="47">
        <v>6</v>
      </c>
      <c r="B68" s="47" t="s">
        <v>8</v>
      </c>
      <c r="C68" s="47">
        <f>C69+C70+C71+C72</f>
        <v>2500</v>
      </c>
      <c r="D68" s="60">
        <f>D69/C68+1</f>
        <v>1.032</v>
      </c>
    </row>
    <row r="69" spans="1:4" ht="12.75" hidden="1">
      <c r="A69" s="40"/>
      <c r="B69" s="40" t="s">
        <v>40</v>
      </c>
      <c r="C69" s="40">
        <v>771</v>
      </c>
      <c r="D69" s="40">
        <f>C72</f>
        <v>80</v>
      </c>
    </row>
    <row r="70" spans="1:4" ht="12.75" hidden="1">
      <c r="A70" s="40"/>
      <c r="B70" s="61" t="s">
        <v>41</v>
      </c>
      <c r="C70" s="40">
        <v>827</v>
      </c>
      <c r="D70" s="40"/>
    </row>
    <row r="71" spans="1:4" ht="12.75" hidden="1">
      <c r="A71" s="40"/>
      <c r="B71" s="40" t="s">
        <v>42</v>
      </c>
      <c r="C71" s="40">
        <v>822</v>
      </c>
      <c r="D71" s="40"/>
    </row>
    <row r="72" spans="1:4" ht="12.75" hidden="1">
      <c r="A72" s="40"/>
      <c r="B72" s="40" t="s">
        <v>43</v>
      </c>
      <c r="C72" s="40">
        <v>80</v>
      </c>
      <c r="D72" s="40"/>
    </row>
    <row r="73" spans="1:4" ht="12.75" hidden="1">
      <c r="A73" s="47">
        <v>7</v>
      </c>
      <c r="B73" s="47" t="s">
        <v>9</v>
      </c>
      <c r="C73" s="47">
        <f>C74+C75+C76+C77+C78+C79+C80</f>
        <v>3262</v>
      </c>
      <c r="D73" s="60">
        <f>D74/C73+1</f>
        <v>1.3767627222562844</v>
      </c>
    </row>
    <row r="74" spans="1:4" ht="12.75" hidden="1">
      <c r="A74" s="40"/>
      <c r="B74" s="40" t="s">
        <v>44</v>
      </c>
      <c r="C74" s="40">
        <v>595</v>
      </c>
      <c r="D74" s="40">
        <f>C75+C76+C80+C77</f>
        <v>1229</v>
      </c>
    </row>
    <row r="75" spans="1:4" ht="12.75" hidden="1">
      <c r="A75" s="40"/>
      <c r="B75" s="40" t="s">
        <v>45</v>
      </c>
      <c r="C75" s="40">
        <v>134</v>
      </c>
      <c r="D75" s="40"/>
    </row>
    <row r="76" spans="1:4" ht="12.75" hidden="1">
      <c r="A76" s="40"/>
      <c r="B76" s="40" t="s">
        <v>46</v>
      </c>
      <c r="C76" s="40">
        <v>166</v>
      </c>
      <c r="D76" s="40"/>
    </row>
    <row r="77" spans="1:4" ht="12.75" hidden="1">
      <c r="A77" s="40"/>
      <c r="B77" s="40" t="s">
        <v>47</v>
      </c>
      <c r="C77" s="40">
        <v>481</v>
      </c>
      <c r="D77" s="40"/>
    </row>
    <row r="78" spans="1:4" ht="12.75" hidden="1">
      <c r="A78" s="40"/>
      <c r="B78" s="40" t="s">
        <v>48</v>
      </c>
      <c r="C78" s="40">
        <v>799</v>
      </c>
      <c r="D78" s="40"/>
    </row>
    <row r="79" spans="1:4" ht="12.75" hidden="1">
      <c r="A79" s="40"/>
      <c r="B79" s="62" t="s">
        <v>49</v>
      </c>
      <c r="C79" s="63">
        <v>639</v>
      </c>
      <c r="D79" s="40"/>
    </row>
    <row r="80" spans="1:4" ht="12.75" hidden="1">
      <c r="A80" s="40"/>
      <c r="B80" s="63" t="s">
        <v>50</v>
      </c>
      <c r="C80" s="63">
        <v>448</v>
      </c>
      <c r="D80" s="40"/>
    </row>
    <row r="81" spans="1:4" ht="25.5" hidden="1">
      <c r="A81" s="47">
        <v>8</v>
      </c>
      <c r="B81" s="44" t="s">
        <v>51</v>
      </c>
      <c r="C81" s="47">
        <f>C82+C83</f>
        <v>2516</v>
      </c>
      <c r="D81" s="60">
        <f>(D82/C81)+1</f>
        <v>1.0349761526232115</v>
      </c>
    </row>
    <row r="82" spans="1:4" ht="12.75" hidden="1">
      <c r="A82" s="40"/>
      <c r="B82" s="64" t="s">
        <v>52</v>
      </c>
      <c r="C82" s="40">
        <v>2428</v>
      </c>
      <c r="D82" s="40">
        <f>C83</f>
        <v>88</v>
      </c>
    </row>
    <row r="83" spans="1:4" ht="12.75" hidden="1">
      <c r="A83" s="40"/>
      <c r="B83" s="38" t="s">
        <v>64</v>
      </c>
      <c r="C83" s="40">
        <v>88</v>
      </c>
      <c r="D83" s="40"/>
    </row>
    <row r="84" spans="1:4" ht="12.75" hidden="1">
      <c r="A84" s="47">
        <v>9</v>
      </c>
      <c r="B84" s="44" t="s">
        <v>10</v>
      </c>
      <c r="C84" s="47">
        <f>C85+C86</f>
        <v>2744</v>
      </c>
      <c r="D84" s="47">
        <v>1</v>
      </c>
    </row>
    <row r="85" spans="1:4" ht="12.75" hidden="1">
      <c r="A85" s="40"/>
      <c r="B85" s="64" t="s">
        <v>53</v>
      </c>
      <c r="C85" s="40">
        <v>1718</v>
      </c>
      <c r="D85" s="40"/>
    </row>
    <row r="86" spans="1:4" ht="12.75" hidden="1">
      <c r="A86" s="40"/>
      <c r="B86" s="38" t="s">
        <v>54</v>
      </c>
      <c r="C86" s="40">
        <v>1026</v>
      </c>
      <c r="D86" s="40"/>
    </row>
    <row r="87" spans="1:4" ht="12.75" hidden="1">
      <c r="A87" s="47">
        <v>10</v>
      </c>
      <c r="B87" s="44" t="s">
        <v>11</v>
      </c>
      <c r="C87" s="47">
        <f>C88+C89+C90</f>
        <v>4678</v>
      </c>
      <c r="D87" s="60">
        <f>(D88/C87)+1</f>
        <v>1.0386917486105174</v>
      </c>
    </row>
    <row r="88" spans="1:4" ht="12.75" hidden="1">
      <c r="A88" s="40"/>
      <c r="B88" s="64" t="s">
        <v>55</v>
      </c>
      <c r="C88" s="40">
        <v>2958</v>
      </c>
      <c r="D88" s="40">
        <f>C90</f>
        <v>181</v>
      </c>
    </row>
    <row r="89" spans="1:4" ht="12.75" hidden="1">
      <c r="A89" s="40"/>
      <c r="B89" s="38" t="s">
        <v>56</v>
      </c>
      <c r="C89" s="40">
        <v>1539</v>
      </c>
      <c r="D89" s="40"/>
    </row>
    <row r="90" spans="1:4" ht="12.75" hidden="1">
      <c r="A90" s="40"/>
      <c r="B90" s="38" t="s">
        <v>57</v>
      </c>
      <c r="C90" s="40">
        <v>181</v>
      </c>
      <c r="D90" s="40"/>
    </row>
    <row r="91" spans="1:4" ht="12.75">
      <c r="A91" s="40"/>
      <c r="B91" s="44" t="s">
        <v>63</v>
      </c>
      <c r="C91" s="45">
        <f>+C6+C8+C10+C12+C14+C16+C18+C20</f>
        <v>31264</v>
      </c>
      <c r="D91" s="60">
        <f>D92/C91+1</f>
        <v>1.200997952917093</v>
      </c>
    </row>
    <row r="92" spans="2:4" ht="12.75">
      <c r="B92" s="39"/>
      <c r="D92" s="65">
        <f>+D7+D9+D11+D13+D15+D17+D19+D21</f>
        <v>6284</v>
      </c>
    </row>
    <row r="93" spans="2:4" ht="15" customHeight="1">
      <c r="B93" s="225"/>
      <c r="C93" s="225"/>
      <c r="D93" s="225"/>
    </row>
  </sheetData>
  <sheetProtection/>
  <mergeCells count="2">
    <mergeCell ref="A3:D3"/>
    <mergeCell ref="B93:D9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5"/>
  <sheetViews>
    <sheetView zoomScalePageLayoutView="0" workbookViewId="0" topLeftCell="A1">
      <selection activeCell="I53" sqref="I53"/>
    </sheetView>
  </sheetViews>
  <sheetFormatPr defaultColWidth="9.00390625" defaultRowHeight="12.75"/>
  <cols>
    <col min="1" max="1" width="36.125" style="37" customWidth="1"/>
    <col min="2" max="7" width="13.125" style="37" customWidth="1"/>
    <col min="8" max="8" width="12.375" style="37" bestFit="1" customWidth="1"/>
    <col min="9" max="9" width="11.875" style="37" bestFit="1" customWidth="1"/>
    <col min="10" max="11" width="12.375" style="37" bestFit="1" customWidth="1"/>
    <col min="12" max="14" width="11.375" style="37" bestFit="1" customWidth="1"/>
    <col min="15" max="15" width="12.375" style="37" bestFit="1" customWidth="1"/>
    <col min="16" max="16" width="11.75390625" style="37" bestFit="1" customWidth="1"/>
    <col min="17" max="19" width="11.875" style="37" bestFit="1" customWidth="1"/>
    <col min="20" max="20" width="12.375" style="37" bestFit="1" customWidth="1"/>
    <col min="21" max="21" width="11.875" style="37" bestFit="1" customWidth="1"/>
    <col min="22" max="16384" width="9.125" style="37" customWidth="1"/>
  </cols>
  <sheetData>
    <row r="1" s="15" customFormat="1" ht="15.75">
      <c r="G1" s="15" t="s">
        <v>144</v>
      </c>
    </row>
    <row r="2" spans="1:7" s="15" customFormat="1" ht="46.5" customHeight="1">
      <c r="A2" s="234" t="s">
        <v>176</v>
      </c>
      <c r="B2" s="234"/>
      <c r="C2" s="234"/>
      <c r="D2" s="234"/>
      <c r="E2" s="234"/>
      <c r="F2" s="234"/>
      <c r="G2" s="234"/>
    </row>
    <row r="3" spans="1:7" s="15" customFormat="1" ht="31.5" customHeight="1">
      <c r="A3" s="25"/>
      <c r="B3" s="25"/>
      <c r="C3" s="25"/>
      <c r="D3" s="25"/>
      <c r="E3" s="25"/>
      <c r="F3" s="25"/>
      <c r="G3" s="25"/>
    </row>
    <row r="4" spans="6:7" ht="12.75">
      <c r="F4" s="56" t="s">
        <v>163</v>
      </c>
      <c r="G4" s="74"/>
    </row>
    <row r="5" spans="1:7" s="53" customFormat="1" ht="31.5" customHeight="1">
      <c r="A5" s="75" t="s">
        <v>15</v>
      </c>
      <c r="B5" s="20" t="s">
        <v>128</v>
      </c>
      <c r="C5" s="20" t="s">
        <v>140</v>
      </c>
      <c r="D5" s="20" t="s">
        <v>137</v>
      </c>
      <c r="E5" s="75" t="s">
        <v>125</v>
      </c>
      <c r="F5" s="75" t="s">
        <v>126</v>
      </c>
      <c r="G5" s="76" t="s">
        <v>72</v>
      </c>
    </row>
    <row r="6" spans="1:7" ht="27.75" customHeight="1">
      <c r="A6" s="41" t="s">
        <v>69</v>
      </c>
      <c r="B6" s="77">
        <v>25324.132080000003</v>
      </c>
      <c r="C6" s="77">
        <v>24461.785</v>
      </c>
      <c r="D6" s="77">
        <v>24098.223950000007</v>
      </c>
      <c r="E6" s="77">
        <f>SUM(B6:D6)</f>
        <v>73884.14103</v>
      </c>
      <c r="F6" s="77">
        <f>+E6/3</f>
        <v>24628.04701</v>
      </c>
      <c r="G6" s="78">
        <f>(E6/E10)*100</f>
        <v>25.547370872748658</v>
      </c>
    </row>
    <row r="7" spans="1:7" ht="21" customHeight="1">
      <c r="A7" s="79" t="s">
        <v>66</v>
      </c>
      <c r="B7" s="77">
        <v>14947.584509999999</v>
      </c>
      <c r="C7" s="77">
        <v>15309.653000000002</v>
      </c>
      <c r="D7" s="77">
        <v>12189.35336</v>
      </c>
      <c r="E7" s="77">
        <f>SUM(B7:D7)</f>
        <v>42446.59087</v>
      </c>
      <c r="F7" s="77">
        <f>+E7/3</f>
        <v>14148.863623333333</v>
      </c>
      <c r="G7" s="78">
        <f>(E7/E10)*100</f>
        <v>14.677017071896477</v>
      </c>
    </row>
    <row r="8" spans="1:7" ht="21" customHeight="1">
      <c r="A8" s="79" t="s">
        <v>70</v>
      </c>
      <c r="B8" s="77">
        <v>18893.6856</v>
      </c>
      <c r="C8" s="77">
        <v>9273.61014</v>
      </c>
      <c r="D8" s="77">
        <v>11640.934519999999</v>
      </c>
      <c r="E8" s="77">
        <f>SUM(B8:D8)</f>
        <v>39808.23026</v>
      </c>
      <c r="F8" s="77">
        <f>+E8/3</f>
        <v>13269.410086666665</v>
      </c>
      <c r="G8" s="78">
        <f>(E8/E10)*100</f>
        <v>13.764735003511152</v>
      </c>
    </row>
    <row r="9" spans="1:7" ht="21" customHeight="1">
      <c r="A9" s="79" t="s">
        <v>71</v>
      </c>
      <c r="B9" s="77">
        <v>44291.79704</v>
      </c>
      <c r="C9" s="77">
        <v>46167.41986</v>
      </c>
      <c r="D9" s="77">
        <v>42606.30072</v>
      </c>
      <c r="E9" s="77">
        <f>SUM(B9:D9)</f>
        <v>133065.51762</v>
      </c>
      <c r="F9" s="77">
        <f>+E9/3</f>
        <v>44355.17254</v>
      </c>
      <c r="G9" s="78">
        <f>(E9/E10)*100</f>
        <v>46.01087705184371</v>
      </c>
    </row>
    <row r="10" spans="1:7" s="68" customFormat="1" ht="21" customHeight="1">
      <c r="A10" s="80" t="s">
        <v>13</v>
      </c>
      <c r="B10" s="81">
        <f>+B6+B7+B8+B9</f>
        <v>103457.19923</v>
      </c>
      <c r="C10" s="81">
        <f>+C6+C7+C8+C9</f>
        <v>95212.468</v>
      </c>
      <c r="D10" s="81">
        <f>+D6+D7+D8+D9</f>
        <v>90534.81255</v>
      </c>
      <c r="E10" s="81">
        <f>E6+E7+E8+E9</f>
        <v>289204.47978</v>
      </c>
      <c r="F10" s="81">
        <f>F6+F7+F8+F9</f>
        <v>96401.49325999999</v>
      </c>
      <c r="G10" s="82">
        <v>100</v>
      </c>
    </row>
    <row r="12" ht="12.75" hidden="1"/>
    <row r="13" spans="1:21" s="26" customFormat="1" ht="12.75" hidden="1">
      <c r="A13" s="235" t="s">
        <v>192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5" s="26" customFormat="1" ht="12.75" hidden="1">
      <c r="A14" s="236"/>
      <c r="B14" s="236"/>
      <c r="C14" s="236"/>
      <c r="D14" s="236"/>
      <c r="E14" s="236"/>
    </row>
    <row r="15" spans="1:21" s="26" customFormat="1" ht="12.75" customHeight="1" hidden="1">
      <c r="A15" s="226" t="s">
        <v>158</v>
      </c>
      <c r="B15" s="228" t="s">
        <v>117</v>
      </c>
      <c r="C15" s="229"/>
      <c r="D15" s="229"/>
      <c r="E15" s="229"/>
      <c r="F15" s="230"/>
      <c r="G15" s="237" t="s">
        <v>118</v>
      </c>
      <c r="H15" s="238"/>
      <c r="I15" s="238"/>
      <c r="J15" s="238"/>
      <c r="K15" s="239"/>
      <c r="L15" s="228" t="s">
        <v>119</v>
      </c>
      <c r="M15" s="229"/>
      <c r="N15" s="229"/>
      <c r="O15" s="229"/>
      <c r="P15" s="230"/>
      <c r="Q15" s="228" t="s">
        <v>120</v>
      </c>
      <c r="R15" s="229"/>
      <c r="S15" s="229"/>
      <c r="T15" s="229"/>
      <c r="U15" s="230"/>
    </row>
    <row r="16" spans="1:21" s="69" customFormat="1" ht="25.5" hidden="1">
      <c r="A16" s="227"/>
      <c r="B16" s="17" t="s">
        <v>128</v>
      </c>
      <c r="C16" s="17" t="s">
        <v>140</v>
      </c>
      <c r="D16" s="17" t="s">
        <v>137</v>
      </c>
      <c r="E16" s="213" t="s">
        <v>129</v>
      </c>
      <c r="F16" s="19" t="s">
        <v>130</v>
      </c>
      <c r="G16" s="17" t="s">
        <v>128</v>
      </c>
      <c r="H16" s="17" t="s">
        <v>140</v>
      </c>
      <c r="I16" s="17" t="s">
        <v>137</v>
      </c>
      <c r="J16" s="213" t="s">
        <v>129</v>
      </c>
      <c r="K16" s="19" t="s">
        <v>130</v>
      </c>
      <c r="L16" s="17" t="s">
        <v>128</v>
      </c>
      <c r="M16" s="17" t="s">
        <v>140</v>
      </c>
      <c r="N16" s="17" t="s">
        <v>137</v>
      </c>
      <c r="O16" s="213" t="s">
        <v>129</v>
      </c>
      <c r="P16" s="19" t="s">
        <v>130</v>
      </c>
      <c r="Q16" s="17" t="s">
        <v>128</v>
      </c>
      <c r="R16" s="17" t="s">
        <v>140</v>
      </c>
      <c r="S16" s="17" t="s">
        <v>137</v>
      </c>
      <c r="T16" s="213" t="s">
        <v>129</v>
      </c>
      <c r="U16" s="19" t="s">
        <v>130</v>
      </c>
    </row>
    <row r="17" spans="1:21" s="26" customFormat="1" ht="12.75" hidden="1">
      <c r="A17" s="1" t="s">
        <v>131</v>
      </c>
      <c r="B17" s="208">
        <v>3396.53337</v>
      </c>
      <c r="C17" s="208">
        <v>3447.855</v>
      </c>
      <c r="D17" s="208">
        <v>3512.521</v>
      </c>
      <c r="E17" s="5">
        <f aca="true" t="shared" si="0" ref="E17:E22">+B17+C17+D17</f>
        <v>10356.909370000001</v>
      </c>
      <c r="F17" s="6">
        <f aca="true" t="shared" si="1" ref="F17:F22">+E17/3</f>
        <v>3452.3031233333336</v>
      </c>
      <c r="G17" s="208">
        <v>3751.3</v>
      </c>
      <c r="H17" s="208">
        <v>4461.3</v>
      </c>
      <c r="I17" s="208">
        <v>4173.6</v>
      </c>
      <c r="J17" s="5">
        <f aca="true" t="shared" si="2" ref="J17:J22">+G17+H17+I17</f>
        <v>12386.2</v>
      </c>
      <c r="K17" s="6">
        <f aca="true" t="shared" si="3" ref="K17:K22">+J17/3</f>
        <v>4128.733333333334</v>
      </c>
      <c r="L17" s="208">
        <v>1839.99565</v>
      </c>
      <c r="M17" s="208">
        <v>1718.26</v>
      </c>
      <c r="N17" s="208">
        <v>1393.648</v>
      </c>
      <c r="O17" s="208">
        <f aca="true" t="shared" si="4" ref="O17:O22">+L17+M17+N17</f>
        <v>4951.90365</v>
      </c>
      <c r="P17" s="6">
        <f>+O17/3</f>
        <v>1650.63455</v>
      </c>
      <c r="Q17" s="4">
        <v>1178.2</v>
      </c>
      <c r="R17" s="4">
        <v>1264.4</v>
      </c>
      <c r="S17" s="4">
        <v>1708.82075</v>
      </c>
      <c r="T17" s="5">
        <f aca="true" t="shared" si="5" ref="T17:T22">+Q17+R17+S17</f>
        <v>4151.42075</v>
      </c>
      <c r="U17" s="6">
        <f aca="true" t="shared" si="6" ref="U17:U22">+T17/3</f>
        <v>1383.8069166666667</v>
      </c>
    </row>
    <row r="18" spans="1:21" s="26" customFormat="1" ht="12.75" hidden="1">
      <c r="A18" s="1" t="s">
        <v>132</v>
      </c>
      <c r="B18" s="4">
        <v>6303.67937</v>
      </c>
      <c r="C18" s="4">
        <v>7646.18</v>
      </c>
      <c r="D18" s="4">
        <v>6351.237</v>
      </c>
      <c r="E18" s="5">
        <f t="shared" si="0"/>
        <v>20301.09637</v>
      </c>
      <c r="F18" s="6">
        <f t="shared" si="1"/>
        <v>6767.032123333333</v>
      </c>
      <c r="G18" s="4">
        <v>1276.683</v>
      </c>
      <c r="H18" s="4">
        <v>1123.738</v>
      </c>
      <c r="I18" s="4">
        <v>500.985</v>
      </c>
      <c r="J18" s="5">
        <f t="shared" si="2"/>
        <v>2901.4060000000004</v>
      </c>
      <c r="K18" s="6">
        <f t="shared" si="3"/>
        <v>967.1353333333335</v>
      </c>
      <c r="L18" s="208">
        <v>969.57</v>
      </c>
      <c r="M18" s="208">
        <v>693.2</v>
      </c>
      <c r="N18" s="208">
        <v>696.7</v>
      </c>
      <c r="O18" s="208">
        <f t="shared" si="4"/>
        <v>2359.4700000000003</v>
      </c>
      <c r="P18" s="6">
        <f>+O18/3</f>
        <v>786.4900000000001</v>
      </c>
      <c r="Q18" s="4">
        <v>440.7</v>
      </c>
      <c r="R18" s="4">
        <v>644.5</v>
      </c>
      <c r="S18" s="4">
        <v>474.8417</v>
      </c>
      <c r="T18" s="5">
        <f t="shared" si="5"/>
        <v>1560.0417</v>
      </c>
      <c r="U18" s="6">
        <f t="shared" si="6"/>
        <v>520.0139</v>
      </c>
    </row>
    <row r="19" spans="1:21" s="26" customFormat="1" ht="12.75" hidden="1">
      <c r="A19" s="1" t="s">
        <v>133</v>
      </c>
      <c r="B19" s="4">
        <v>1880.12195</v>
      </c>
      <c r="C19" s="4">
        <v>1628.2</v>
      </c>
      <c r="D19" s="4">
        <v>1925.243</v>
      </c>
      <c r="E19" s="5">
        <f t="shared" si="0"/>
        <v>5433.56495</v>
      </c>
      <c r="F19" s="6">
        <f t="shared" si="1"/>
        <v>1811.1883166666667</v>
      </c>
      <c r="G19" s="4">
        <v>1636.669</v>
      </c>
      <c r="H19" s="4">
        <v>403.4</v>
      </c>
      <c r="I19" s="4">
        <v>2000.493</v>
      </c>
      <c r="J19" s="5">
        <f t="shared" si="2"/>
        <v>4040.562</v>
      </c>
      <c r="K19" s="6">
        <f t="shared" si="3"/>
        <v>1346.854</v>
      </c>
      <c r="L19" s="208">
        <v>1527.698</v>
      </c>
      <c r="M19" s="208">
        <v>1249.56</v>
      </c>
      <c r="N19" s="208">
        <v>1230.09</v>
      </c>
      <c r="O19" s="208">
        <f t="shared" si="4"/>
        <v>4007.348</v>
      </c>
      <c r="P19" s="6">
        <f>+O19/3</f>
        <v>1335.7826666666667</v>
      </c>
      <c r="Q19" s="4">
        <v>318.1</v>
      </c>
      <c r="R19" s="4">
        <v>418.2</v>
      </c>
      <c r="S19" s="4">
        <v>485.82486</v>
      </c>
      <c r="T19" s="5">
        <f t="shared" si="5"/>
        <v>1222.12486</v>
      </c>
      <c r="U19" s="6">
        <f t="shared" si="6"/>
        <v>407.3749533333333</v>
      </c>
    </row>
    <row r="20" spans="1:21" s="26" customFormat="1" ht="12.75" hidden="1">
      <c r="A20" s="1" t="s">
        <v>134</v>
      </c>
      <c r="B20" s="4">
        <f>+B21+B22</f>
        <v>5869.58691</v>
      </c>
      <c r="C20" s="4">
        <f>+C21+C22</f>
        <v>6726.090999999999</v>
      </c>
      <c r="D20" s="4">
        <f>+D21+D22</f>
        <v>5747.09</v>
      </c>
      <c r="E20" s="5">
        <f t="shared" si="0"/>
        <v>18342.76791</v>
      </c>
      <c r="F20" s="6">
        <f t="shared" si="1"/>
        <v>6114.255969999999</v>
      </c>
      <c r="G20" s="4">
        <f>+G21+G22</f>
        <v>6973.173</v>
      </c>
      <c r="H20" s="4">
        <f>+H21+H22</f>
        <v>8756.42</v>
      </c>
      <c r="I20" s="4">
        <f>+I21+I22</f>
        <v>8505.9</v>
      </c>
      <c r="J20" s="5">
        <f t="shared" si="2"/>
        <v>24235.493000000002</v>
      </c>
      <c r="K20" s="6">
        <f t="shared" si="3"/>
        <v>8078.497666666667</v>
      </c>
      <c r="L20" s="208">
        <f>+L21+L22</f>
        <v>3682.816</v>
      </c>
      <c r="M20" s="208">
        <f>+M21+M22</f>
        <v>3493.795</v>
      </c>
      <c r="N20" s="208">
        <f>+N21+N22</f>
        <v>4486.778</v>
      </c>
      <c r="O20" s="208">
        <f t="shared" si="4"/>
        <v>11663.389</v>
      </c>
      <c r="P20" s="6">
        <f>+O20/3</f>
        <v>3887.796333333333</v>
      </c>
      <c r="Q20" s="4">
        <f>+Q21+Q22</f>
        <v>2541.9</v>
      </c>
      <c r="R20" s="4">
        <f>+R21+R22</f>
        <v>4656.3</v>
      </c>
      <c r="S20" s="4">
        <f>+S21+S22</f>
        <v>4521.25977</v>
      </c>
      <c r="T20" s="5">
        <f t="shared" si="5"/>
        <v>11719.459770000001</v>
      </c>
      <c r="U20" s="6">
        <f t="shared" si="6"/>
        <v>3906.4865900000004</v>
      </c>
    </row>
    <row r="21" spans="1:21" s="70" customFormat="1" ht="12.75" hidden="1">
      <c r="A21" s="2" t="s">
        <v>135</v>
      </c>
      <c r="B21" s="7">
        <v>530.90273</v>
      </c>
      <c r="C21" s="7">
        <v>433.789</v>
      </c>
      <c r="D21" s="7">
        <v>165.625</v>
      </c>
      <c r="E21" s="8">
        <f t="shared" si="0"/>
        <v>1130.31673</v>
      </c>
      <c r="F21" s="9">
        <f t="shared" si="1"/>
        <v>376.77224333333334</v>
      </c>
      <c r="G21" s="7">
        <v>0</v>
      </c>
      <c r="H21" s="7">
        <v>0</v>
      </c>
      <c r="I21" s="7">
        <v>0</v>
      </c>
      <c r="J21" s="8">
        <f t="shared" si="2"/>
        <v>0</v>
      </c>
      <c r="K21" s="9">
        <f t="shared" si="3"/>
        <v>0</v>
      </c>
      <c r="L21" s="215">
        <v>0</v>
      </c>
      <c r="M21" s="215">
        <v>0</v>
      </c>
      <c r="N21" s="215">
        <v>0</v>
      </c>
      <c r="O21" s="215">
        <f>+L21+M21+N21</f>
        <v>0</v>
      </c>
      <c r="P21" s="9">
        <f>+O21/2</f>
        <v>0</v>
      </c>
      <c r="Q21" s="7">
        <v>393</v>
      </c>
      <c r="R21" s="7">
        <v>535.7</v>
      </c>
      <c r="S21" s="7">
        <v>417.06977</v>
      </c>
      <c r="T21" s="8">
        <f t="shared" si="5"/>
        <v>1345.76977</v>
      </c>
      <c r="U21" s="9">
        <f t="shared" si="6"/>
        <v>448.5899233333334</v>
      </c>
    </row>
    <row r="22" spans="1:21" s="70" customFormat="1" ht="12.75" hidden="1">
      <c r="A22" s="2" t="s">
        <v>134</v>
      </c>
      <c r="B22" s="7">
        <v>5338.68418</v>
      </c>
      <c r="C22" s="7">
        <v>6292.302</v>
      </c>
      <c r="D22" s="7">
        <v>5581.465</v>
      </c>
      <c r="E22" s="8">
        <f t="shared" si="0"/>
        <v>17212.45118</v>
      </c>
      <c r="F22" s="9">
        <f t="shared" si="1"/>
        <v>5737.483726666666</v>
      </c>
      <c r="G22" s="7">
        <v>6973.173</v>
      </c>
      <c r="H22" s="7">
        <v>8756.42</v>
      </c>
      <c r="I22" s="7">
        <v>8505.9</v>
      </c>
      <c r="J22" s="8">
        <f t="shared" si="2"/>
        <v>24235.493000000002</v>
      </c>
      <c r="K22" s="9">
        <f t="shared" si="3"/>
        <v>8078.497666666667</v>
      </c>
      <c r="L22" s="215">
        <v>3682.816</v>
      </c>
      <c r="M22" s="215">
        <v>3493.795</v>
      </c>
      <c r="N22" s="215">
        <v>4486.778</v>
      </c>
      <c r="O22" s="215">
        <f t="shared" si="4"/>
        <v>11663.389</v>
      </c>
      <c r="P22" s="9">
        <f>+O22/3</f>
        <v>3887.796333333333</v>
      </c>
      <c r="Q22" s="7">
        <v>2148.9</v>
      </c>
      <c r="R22" s="7">
        <v>4120.6</v>
      </c>
      <c r="S22" s="7">
        <v>4104.19</v>
      </c>
      <c r="T22" s="8">
        <f t="shared" si="5"/>
        <v>10373.689999999999</v>
      </c>
      <c r="U22" s="9">
        <f t="shared" si="6"/>
        <v>3457.896666666666</v>
      </c>
    </row>
    <row r="23" spans="1:21" s="26" customFormat="1" ht="12.75" hidden="1">
      <c r="A23" s="3" t="s">
        <v>136</v>
      </c>
      <c r="B23" s="10">
        <f>+B17+B18+B19+B20</f>
        <v>17449.9216</v>
      </c>
      <c r="C23" s="10">
        <f aca="true" t="shared" si="7" ref="C23:U23">+C17+C18+C19+C20</f>
        <v>19448.326</v>
      </c>
      <c r="D23" s="10">
        <f>+D17+D18+D19+D20</f>
        <v>17536.091</v>
      </c>
      <c r="E23" s="10">
        <f>+E17+E18+E19+E20</f>
        <v>54434.3386</v>
      </c>
      <c r="F23" s="11">
        <f t="shared" si="7"/>
        <v>18144.779533333334</v>
      </c>
      <c r="G23" s="10">
        <f t="shared" si="7"/>
        <v>13637.825</v>
      </c>
      <c r="H23" s="10">
        <f t="shared" si="7"/>
        <v>14744.858</v>
      </c>
      <c r="I23" s="10">
        <f>+I17+I18+I19+I20</f>
        <v>15180.978</v>
      </c>
      <c r="J23" s="10">
        <f t="shared" si="7"/>
        <v>43563.66100000001</v>
      </c>
      <c r="K23" s="11">
        <f t="shared" si="7"/>
        <v>14521.220333333335</v>
      </c>
      <c r="L23" s="207">
        <f>+L17+L18+L19+L20</f>
        <v>8020.07965</v>
      </c>
      <c r="M23" s="207">
        <f t="shared" si="7"/>
        <v>7154.8150000000005</v>
      </c>
      <c r="N23" s="207">
        <f t="shared" si="7"/>
        <v>7807.216</v>
      </c>
      <c r="O23" s="207">
        <f t="shared" si="7"/>
        <v>22982.11065</v>
      </c>
      <c r="P23" s="11">
        <f t="shared" si="7"/>
        <v>7660.70355</v>
      </c>
      <c r="Q23" s="10">
        <f>+Q17+Q18+Q19+Q20</f>
        <v>4478.9</v>
      </c>
      <c r="R23" s="10">
        <f>+R17+R18+R19+R20</f>
        <v>6983.4</v>
      </c>
      <c r="S23" s="10">
        <f t="shared" si="7"/>
        <v>7190.74708</v>
      </c>
      <c r="T23" s="10">
        <f t="shared" si="7"/>
        <v>18653.04708</v>
      </c>
      <c r="U23" s="11">
        <f t="shared" si="7"/>
        <v>6217.682360000001</v>
      </c>
    </row>
    <row r="24" spans="1:21" s="26" customFormat="1" ht="12.75" hidden="1">
      <c r="A24" s="23"/>
      <c r="B24" s="12"/>
      <c r="C24" s="12"/>
      <c r="D24" s="12"/>
      <c r="E24" s="12"/>
      <c r="F24" s="24"/>
      <c r="G24" s="12"/>
      <c r="H24" s="12"/>
      <c r="I24" s="12"/>
      <c r="J24" s="12"/>
      <c r="K24" s="24"/>
      <c r="L24" s="12"/>
      <c r="M24" s="12"/>
      <c r="N24" s="12"/>
      <c r="O24" s="12"/>
      <c r="P24" s="24"/>
      <c r="Q24" s="12"/>
      <c r="R24" s="12"/>
      <c r="S24" s="12"/>
      <c r="T24" s="12"/>
      <c r="U24" s="24"/>
    </row>
    <row r="25" spans="1:21" s="26" customFormat="1" ht="12.75" hidden="1">
      <c r="A25" s="23"/>
      <c r="B25" s="12"/>
      <c r="C25" s="12"/>
      <c r="D25" s="12"/>
      <c r="E25" s="12"/>
      <c r="F25" s="24"/>
      <c r="G25" s="12"/>
      <c r="H25" s="12"/>
      <c r="I25" s="12"/>
      <c r="J25" s="12"/>
      <c r="K25" s="24"/>
      <c r="L25" s="12"/>
      <c r="M25" s="12"/>
      <c r="N25" s="12"/>
      <c r="O25" s="12"/>
      <c r="P25" s="24"/>
      <c r="Q25" s="12"/>
      <c r="R25" s="12"/>
      <c r="S25" s="12"/>
      <c r="T25" s="12"/>
      <c r="U25" s="24"/>
    </row>
    <row r="26" spans="1:21" s="26" customFormat="1" ht="12.75" hidden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s="26" customFormat="1" ht="12.75" customHeight="1" hidden="1">
      <c r="A27" s="226" t="s">
        <v>158</v>
      </c>
      <c r="B27" s="228" t="s">
        <v>121</v>
      </c>
      <c r="C27" s="229"/>
      <c r="D27" s="229"/>
      <c r="E27" s="229"/>
      <c r="F27" s="230"/>
      <c r="G27" s="228" t="s">
        <v>122</v>
      </c>
      <c r="H27" s="229"/>
      <c r="I27" s="229"/>
      <c r="J27" s="229"/>
      <c r="K27" s="230"/>
      <c r="L27" s="228" t="s">
        <v>123</v>
      </c>
      <c r="M27" s="229"/>
      <c r="N27" s="229"/>
      <c r="O27" s="229"/>
      <c r="P27" s="230"/>
      <c r="Q27" s="228" t="s">
        <v>124</v>
      </c>
      <c r="R27" s="229"/>
      <c r="S27" s="229"/>
      <c r="T27" s="229"/>
      <c r="U27" s="230"/>
    </row>
    <row r="28" spans="1:21" s="69" customFormat="1" ht="25.5" hidden="1">
      <c r="A28" s="227"/>
      <c r="B28" s="20" t="s">
        <v>128</v>
      </c>
      <c r="C28" s="20" t="s">
        <v>140</v>
      </c>
      <c r="D28" s="20" t="s">
        <v>137</v>
      </c>
      <c r="E28" s="21" t="s">
        <v>129</v>
      </c>
      <c r="F28" s="22" t="s">
        <v>130</v>
      </c>
      <c r="G28" s="20" t="s">
        <v>128</v>
      </c>
      <c r="H28" s="20" t="s">
        <v>140</v>
      </c>
      <c r="I28" s="20" t="s">
        <v>137</v>
      </c>
      <c r="J28" s="21" t="s">
        <v>129</v>
      </c>
      <c r="K28" s="22" t="s">
        <v>130</v>
      </c>
      <c r="L28" s="20" t="s">
        <v>128</v>
      </c>
      <c r="M28" s="20" t="s">
        <v>140</v>
      </c>
      <c r="N28" s="20" t="s">
        <v>137</v>
      </c>
      <c r="O28" s="21" t="s">
        <v>129</v>
      </c>
      <c r="P28" s="22" t="s">
        <v>130</v>
      </c>
      <c r="Q28" s="20" t="s">
        <v>128</v>
      </c>
      <c r="R28" s="20" t="s">
        <v>140</v>
      </c>
      <c r="S28" s="20" t="s">
        <v>137</v>
      </c>
      <c r="T28" s="21" t="s">
        <v>129</v>
      </c>
      <c r="U28" s="22" t="s">
        <v>130</v>
      </c>
    </row>
    <row r="29" spans="1:21" s="26" customFormat="1" ht="12.75" hidden="1">
      <c r="A29" s="1" t="s">
        <v>131</v>
      </c>
      <c r="B29" s="208">
        <v>2804.3</v>
      </c>
      <c r="C29" s="208">
        <f>30+3758.1</f>
        <v>3788.1</v>
      </c>
      <c r="D29" s="214">
        <v>3618.3</v>
      </c>
      <c r="E29" s="5">
        <f aca="true" t="shared" si="8" ref="E29:E34">+B29+C29+D29</f>
        <v>10210.7</v>
      </c>
      <c r="F29" s="6">
        <f aca="true" t="shared" si="9" ref="F29:F34">+E29/3</f>
        <v>3403.566666666667</v>
      </c>
      <c r="G29" s="208">
        <v>6447.18501</v>
      </c>
      <c r="H29" s="208">
        <v>4164.1</v>
      </c>
      <c r="I29" s="208">
        <v>4875.917</v>
      </c>
      <c r="J29" s="5">
        <f aca="true" t="shared" si="10" ref="J29:J34">+G29+H29+I29</f>
        <v>15487.20201</v>
      </c>
      <c r="K29" s="6">
        <f aca="true" t="shared" si="11" ref="K29:K34">+J29/3</f>
        <v>5162.40067</v>
      </c>
      <c r="L29" s="208">
        <v>1777.37</v>
      </c>
      <c r="M29" s="208">
        <v>1774.309</v>
      </c>
      <c r="N29" s="208">
        <v>1773.454</v>
      </c>
      <c r="O29" s="5">
        <f aca="true" t="shared" si="12" ref="O29:O34">+L29+M29+N29</f>
        <v>5325.133</v>
      </c>
      <c r="P29" s="6">
        <f aca="true" t="shared" si="13" ref="P29:P34">+O29/3</f>
        <v>1775.0443333333333</v>
      </c>
      <c r="Q29" s="208">
        <v>4129.24805</v>
      </c>
      <c r="R29" s="208">
        <v>3843.461</v>
      </c>
      <c r="S29" s="208">
        <v>3041.9632</v>
      </c>
      <c r="T29" s="5">
        <f aca="true" t="shared" si="14" ref="T29:T34">+Q29+R29+S29</f>
        <v>11014.67225</v>
      </c>
      <c r="U29" s="6">
        <f aca="true" t="shared" si="15" ref="U29:U34">+T29/3</f>
        <v>3671.5574166666665</v>
      </c>
    </row>
    <row r="30" spans="1:21" s="26" customFormat="1" ht="12.75" hidden="1">
      <c r="A30" s="1" t="s">
        <v>132</v>
      </c>
      <c r="B30" s="4">
        <v>1436.8</v>
      </c>
      <c r="C30" s="4">
        <v>856.6</v>
      </c>
      <c r="D30" s="4">
        <v>786.8</v>
      </c>
      <c r="E30" s="5">
        <f t="shared" si="8"/>
        <v>3080.2</v>
      </c>
      <c r="F30" s="6">
        <f t="shared" si="9"/>
        <v>1026.7333333333333</v>
      </c>
      <c r="G30" s="208">
        <v>1408.46532</v>
      </c>
      <c r="H30" s="208">
        <v>2203.726</v>
      </c>
      <c r="I30" s="208">
        <v>1485.607</v>
      </c>
      <c r="J30" s="5">
        <f t="shared" si="10"/>
        <v>5097.79832</v>
      </c>
      <c r="K30" s="6">
        <f t="shared" si="11"/>
        <v>1699.2661066666667</v>
      </c>
      <c r="L30" s="4">
        <v>1366.827</v>
      </c>
      <c r="M30" s="4">
        <v>732.6</v>
      </c>
      <c r="N30" s="4">
        <v>461.986</v>
      </c>
      <c r="O30" s="5">
        <f t="shared" si="12"/>
        <v>2561.413</v>
      </c>
      <c r="P30" s="6">
        <f t="shared" si="13"/>
        <v>853.8043333333334</v>
      </c>
      <c r="Q30" s="4">
        <v>1744.85982</v>
      </c>
      <c r="R30" s="4">
        <v>1409.109</v>
      </c>
      <c r="S30" s="4">
        <v>1431.19666</v>
      </c>
      <c r="T30" s="5">
        <f t="shared" si="14"/>
        <v>4585.16548</v>
      </c>
      <c r="U30" s="6">
        <f t="shared" si="15"/>
        <v>1528.3884933333331</v>
      </c>
    </row>
    <row r="31" spans="1:21" s="26" customFormat="1" ht="12.75" hidden="1">
      <c r="A31" s="1" t="s">
        <v>133</v>
      </c>
      <c r="B31" s="4">
        <v>976.2</v>
      </c>
      <c r="C31" s="4">
        <v>1117.2</v>
      </c>
      <c r="D31" s="4">
        <v>2168.2</v>
      </c>
      <c r="E31" s="5">
        <f t="shared" si="8"/>
        <v>4261.6</v>
      </c>
      <c r="F31" s="6">
        <f t="shared" si="9"/>
        <v>1420.5333333333335</v>
      </c>
      <c r="G31" s="4">
        <v>4915.16365</v>
      </c>
      <c r="H31" s="4">
        <v>1404.397</v>
      </c>
      <c r="I31" s="4">
        <v>2284.922</v>
      </c>
      <c r="J31" s="5">
        <f t="shared" si="10"/>
        <v>8604.48265</v>
      </c>
      <c r="K31" s="6">
        <f t="shared" si="11"/>
        <v>2868.1608833333335</v>
      </c>
      <c r="L31" s="4">
        <v>120.064</v>
      </c>
      <c r="M31" s="4">
        <v>260.8</v>
      </c>
      <c r="N31" s="4">
        <v>276.5</v>
      </c>
      <c r="O31" s="5">
        <f t="shared" si="12"/>
        <v>657.364</v>
      </c>
      <c r="P31" s="6">
        <f t="shared" si="13"/>
        <v>219.12133333333335</v>
      </c>
      <c r="Q31" s="4">
        <v>7519.669</v>
      </c>
      <c r="R31" s="4">
        <v>2791.85314</v>
      </c>
      <c r="S31" s="4">
        <v>1269.66166</v>
      </c>
      <c r="T31" s="5">
        <f t="shared" si="14"/>
        <v>11581.1838</v>
      </c>
      <c r="U31" s="6">
        <f t="shared" si="15"/>
        <v>3860.3946</v>
      </c>
    </row>
    <row r="32" spans="1:21" s="26" customFormat="1" ht="12.75" hidden="1">
      <c r="A32" s="1" t="s">
        <v>134</v>
      </c>
      <c r="B32" s="4">
        <f>+B33+B34</f>
        <v>6806.8</v>
      </c>
      <c r="C32" s="4">
        <f>+C33+C34</f>
        <v>5431.5</v>
      </c>
      <c r="D32" s="4">
        <f>+D33+D34</f>
        <v>4308.1</v>
      </c>
      <c r="E32" s="5">
        <f t="shared" si="8"/>
        <v>16546.4</v>
      </c>
      <c r="F32" s="6">
        <f t="shared" si="9"/>
        <v>5515.466666666667</v>
      </c>
      <c r="G32" s="4">
        <f>+G33+G34</f>
        <v>8584.00713</v>
      </c>
      <c r="H32" s="4">
        <f>+H33+H34</f>
        <v>8442.378</v>
      </c>
      <c r="I32" s="4">
        <f>+I33+I34</f>
        <v>7238.762</v>
      </c>
      <c r="J32" s="5">
        <f t="shared" si="10"/>
        <v>24265.14713</v>
      </c>
      <c r="K32" s="6">
        <f t="shared" si="11"/>
        <v>8088.382376666667</v>
      </c>
      <c r="L32" s="4">
        <f>+L33+L34</f>
        <v>2733.433</v>
      </c>
      <c r="M32" s="4">
        <v>2001.671</v>
      </c>
      <c r="N32" s="4">
        <f>+N33+N34</f>
        <v>1871.96</v>
      </c>
      <c r="O32" s="5">
        <f t="shared" si="12"/>
        <v>6607.064</v>
      </c>
      <c r="P32" s="6">
        <f t="shared" si="13"/>
        <v>2202.3546666666666</v>
      </c>
      <c r="Q32" s="4">
        <f>+Q33+Q34</f>
        <v>7100.081</v>
      </c>
      <c r="R32" s="4">
        <f>+R33+R34</f>
        <v>6659.26486</v>
      </c>
      <c r="S32" s="4">
        <f>+S33+S34</f>
        <v>5926.45095</v>
      </c>
      <c r="T32" s="5">
        <f t="shared" si="14"/>
        <v>19685.79681</v>
      </c>
      <c r="U32" s="6">
        <f t="shared" si="15"/>
        <v>6561.93227</v>
      </c>
    </row>
    <row r="33" spans="1:21" s="70" customFormat="1" ht="12.75" hidden="1">
      <c r="A33" s="2" t="s">
        <v>135</v>
      </c>
      <c r="B33" s="7">
        <v>750.7</v>
      </c>
      <c r="C33" s="7">
        <v>971.9</v>
      </c>
      <c r="D33" s="7">
        <v>1085</v>
      </c>
      <c r="E33" s="8">
        <f t="shared" si="8"/>
        <v>2807.6</v>
      </c>
      <c r="F33" s="9">
        <f t="shared" si="9"/>
        <v>935.8666666666667</v>
      </c>
      <c r="G33" s="7">
        <v>0</v>
      </c>
      <c r="H33" s="7">
        <v>0</v>
      </c>
      <c r="I33" s="7">
        <v>0</v>
      </c>
      <c r="J33" s="8">
        <f t="shared" si="10"/>
        <v>0</v>
      </c>
      <c r="K33" s="9">
        <f t="shared" si="11"/>
        <v>0</v>
      </c>
      <c r="L33" s="7">
        <v>556.81</v>
      </c>
      <c r="M33" s="7">
        <v>609.666</v>
      </c>
      <c r="N33" s="7">
        <v>586.135</v>
      </c>
      <c r="O33" s="8">
        <f t="shared" si="12"/>
        <v>1752.611</v>
      </c>
      <c r="P33" s="9">
        <f t="shared" si="13"/>
        <v>584.2036666666667</v>
      </c>
      <c r="Q33" s="7">
        <v>0</v>
      </c>
      <c r="R33" s="7">
        <v>0</v>
      </c>
      <c r="S33" s="7">
        <v>0</v>
      </c>
      <c r="T33" s="8">
        <f t="shared" si="14"/>
        <v>0</v>
      </c>
      <c r="U33" s="9">
        <f t="shared" si="15"/>
        <v>0</v>
      </c>
    </row>
    <row r="34" spans="1:21" s="70" customFormat="1" ht="12.75" hidden="1">
      <c r="A34" s="2" t="s">
        <v>134</v>
      </c>
      <c r="B34" s="7">
        <v>6056.1</v>
      </c>
      <c r="C34" s="7">
        <f>4459.6</f>
        <v>4459.6</v>
      </c>
      <c r="D34" s="7">
        <v>3223.1</v>
      </c>
      <c r="E34" s="8">
        <f t="shared" si="8"/>
        <v>13738.800000000001</v>
      </c>
      <c r="F34" s="9">
        <f t="shared" si="9"/>
        <v>4579.6</v>
      </c>
      <c r="G34" s="7">
        <v>8584.00713</v>
      </c>
      <c r="H34" s="7">
        <f>8059.978+382.4</f>
        <v>8442.378</v>
      </c>
      <c r="I34" s="7">
        <v>7238.762</v>
      </c>
      <c r="J34" s="8">
        <f t="shared" si="10"/>
        <v>24265.14713</v>
      </c>
      <c r="K34" s="9">
        <f t="shared" si="11"/>
        <v>8088.382376666667</v>
      </c>
      <c r="L34" s="7">
        <v>2176.623</v>
      </c>
      <c r="M34" s="7">
        <v>1392.005</v>
      </c>
      <c r="N34" s="7">
        <v>1285.825</v>
      </c>
      <c r="O34" s="8">
        <f t="shared" si="12"/>
        <v>4854.453</v>
      </c>
      <c r="P34" s="9">
        <f t="shared" si="13"/>
        <v>1618.151</v>
      </c>
      <c r="Q34" s="4">
        <v>7100.081</v>
      </c>
      <c r="R34" s="4">
        <v>6659.26486</v>
      </c>
      <c r="S34" s="4">
        <v>5926.45095</v>
      </c>
      <c r="T34" s="8">
        <f t="shared" si="14"/>
        <v>19685.79681</v>
      </c>
      <c r="U34" s="9">
        <f t="shared" si="15"/>
        <v>6561.93227</v>
      </c>
    </row>
    <row r="35" spans="1:21" s="26" customFormat="1" ht="12.75" hidden="1">
      <c r="A35" s="3" t="s">
        <v>136</v>
      </c>
      <c r="B35" s="10">
        <f>+B29+B30+B31+B32</f>
        <v>12024.1</v>
      </c>
      <c r="C35" s="10">
        <f>+C29+C30+C31+C32</f>
        <v>11193.4</v>
      </c>
      <c r="D35" s="10">
        <f>+D29+D30+D31+D32</f>
        <v>10881.400000000001</v>
      </c>
      <c r="E35" s="10">
        <f aca="true" t="shared" si="16" ref="E35:U35">+E29+E30+E31+E32</f>
        <v>34098.9</v>
      </c>
      <c r="F35" s="11">
        <f t="shared" si="16"/>
        <v>11366.300000000001</v>
      </c>
      <c r="G35" s="10">
        <f>+G29+G30+G31+G32</f>
        <v>21354.82111</v>
      </c>
      <c r="H35" s="10">
        <f>+H29+H30+H31+H32</f>
        <v>16214.601000000002</v>
      </c>
      <c r="I35" s="10">
        <f>+I29+I30+I31+I32</f>
        <v>15885.207999999999</v>
      </c>
      <c r="J35" s="10">
        <f t="shared" si="16"/>
        <v>53454.63011</v>
      </c>
      <c r="K35" s="11">
        <f t="shared" si="16"/>
        <v>17818.210036666667</v>
      </c>
      <c r="L35" s="10">
        <f>+L29+L30+L31+L32</f>
        <v>5997.6939999999995</v>
      </c>
      <c r="M35" s="10">
        <f>+M29+M30+M31+M32</f>
        <v>4769.38</v>
      </c>
      <c r="N35" s="10">
        <f t="shared" si="16"/>
        <v>4383.9</v>
      </c>
      <c r="O35" s="10">
        <f t="shared" si="16"/>
        <v>15150.974</v>
      </c>
      <c r="P35" s="11">
        <f t="shared" si="16"/>
        <v>5050.324666666667</v>
      </c>
      <c r="Q35" s="10">
        <f>+Q29+Q30+Q31+Q32</f>
        <v>20493.85787</v>
      </c>
      <c r="R35" s="10">
        <f>+R29+R30+R31+R32</f>
        <v>14703.688</v>
      </c>
      <c r="S35" s="10">
        <f>+S29+S30+S31+S32</f>
        <v>11669.27247</v>
      </c>
      <c r="T35" s="10">
        <f t="shared" si="16"/>
        <v>46866.81834</v>
      </c>
      <c r="U35" s="11">
        <f t="shared" si="16"/>
        <v>15622.27278</v>
      </c>
    </row>
    <row r="36" spans="1:21" s="26" customFormat="1" ht="12.75" hidden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26" customFormat="1" ht="12.75" hidden="1">
      <c r="A37" s="226" t="s">
        <v>158</v>
      </c>
      <c r="B37" s="231" t="s">
        <v>14</v>
      </c>
      <c r="C37" s="232"/>
      <c r="D37" s="232"/>
      <c r="E37" s="232"/>
      <c r="F37" s="233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26" customFormat="1" ht="25.5" hidden="1">
      <c r="A38" s="227"/>
      <c r="B38" s="13" t="s">
        <v>128</v>
      </c>
      <c r="C38" s="13" t="s">
        <v>140</v>
      </c>
      <c r="D38" s="13" t="s">
        <v>137</v>
      </c>
      <c r="E38" s="14" t="s">
        <v>129</v>
      </c>
      <c r="F38" s="22" t="s">
        <v>130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26" customFormat="1" ht="12.75" hidden="1">
      <c r="A39" s="1" t="s">
        <v>131</v>
      </c>
      <c r="B39" s="4">
        <f aca="true" t="shared" si="17" ref="B39:D44">+B17+G17+L17+Q17+B29+G29+L29+Q29</f>
        <v>25324.132080000003</v>
      </c>
      <c r="C39" s="4">
        <f>+C17+H17+M17+R17+C29+H29+M29+R29</f>
        <v>24461.785</v>
      </c>
      <c r="D39" s="4">
        <f t="shared" si="17"/>
        <v>24098.223950000007</v>
      </c>
      <c r="E39" s="5">
        <f aca="true" t="shared" si="18" ref="E39:E44">+B39+C39+D39</f>
        <v>73884.14103</v>
      </c>
      <c r="F39" s="6">
        <f aca="true" t="shared" si="19" ref="F39:F44">+E39/3</f>
        <v>24628.04701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s="26" customFormat="1" ht="12.75" hidden="1">
      <c r="A40" s="1" t="s">
        <v>132</v>
      </c>
      <c r="B40" s="4">
        <f t="shared" si="17"/>
        <v>14947.584509999999</v>
      </c>
      <c r="C40" s="4">
        <f t="shared" si="17"/>
        <v>15309.653000000002</v>
      </c>
      <c r="D40" s="4">
        <f t="shared" si="17"/>
        <v>12189.35336</v>
      </c>
      <c r="E40" s="5">
        <f t="shared" si="18"/>
        <v>42446.59087</v>
      </c>
      <c r="F40" s="6">
        <f t="shared" si="19"/>
        <v>14148.863623333333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s="26" customFormat="1" ht="12.75" hidden="1">
      <c r="A41" s="1" t="s">
        <v>133</v>
      </c>
      <c r="B41" s="4">
        <f t="shared" si="17"/>
        <v>18893.6856</v>
      </c>
      <c r="C41" s="4">
        <f t="shared" si="17"/>
        <v>9273.61014</v>
      </c>
      <c r="D41" s="4">
        <f t="shared" si="17"/>
        <v>11640.934519999999</v>
      </c>
      <c r="E41" s="5">
        <f t="shared" si="18"/>
        <v>39808.23026</v>
      </c>
      <c r="F41" s="6">
        <f t="shared" si="19"/>
        <v>13269.410086666665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26" customFormat="1" ht="12.75" hidden="1">
      <c r="A42" s="1" t="s">
        <v>134</v>
      </c>
      <c r="B42" s="4">
        <f t="shared" si="17"/>
        <v>44291.79704</v>
      </c>
      <c r="C42" s="4">
        <f t="shared" si="17"/>
        <v>46167.41986</v>
      </c>
      <c r="D42" s="4">
        <f t="shared" si="17"/>
        <v>42606.30072</v>
      </c>
      <c r="E42" s="5">
        <f t="shared" si="18"/>
        <v>133065.51762</v>
      </c>
      <c r="F42" s="6">
        <f t="shared" si="19"/>
        <v>44355.17254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s="70" customFormat="1" ht="12.75" hidden="1">
      <c r="A43" s="2" t="s">
        <v>135</v>
      </c>
      <c r="B43" s="7">
        <f t="shared" si="17"/>
        <v>2231.41273</v>
      </c>
      <c r="C43" s="7">
        <f t="shared" si="17"/>
        <v>2551.0550000000003</v>
      </c>
      <c r="D43" s="7">
        <f t="shared" si="17"/>
        <v>2253.8297700000003</v>
      </c>
      <c r="E43" s="8">
        <f t="shared" si="18"/>
        <v>7036.297500000001</v>
      </c>
      <c r="F43" s="9">
        <f t="shared" si="19"/>
        <v>2345.4325000000003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s="70" customFormat="1" ht="12.75" hidden="1">
      <c r="A44" s="2" t="s">
        <v>134</v>
      </c>
      <c r="B44" s="7">
        <f t="shared" si="17"/>
        <v>42060.384309999994</v>
      </c>
      <c r="C44" s="7">
        <f t="shared" si="17"/>
        <v>43616.36486</v>
      </c>
      <c r="D44" s="7">
        <f t="shared" si="17"/>
        <v>40352.470949999995</v>
      </c>
      <c r="E44" s="8">
        <f t="shared" si="18"/>
        <v>126029.22011999998</v>
      </c>
      <c r="F44" s="9">
        <f t="shared" si="19"/>
        <v>42009.74004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 s="26" customFormat="1" ht="12.75" hidden="1">
      <c r="A45" s="3" t="s">
        <v>136</v>
      </c>
      <c r="B45" s="10">
        <f>+B39+B40+B41+B42</f>
        <v>103457.19923</v>
      </c>
      <c r="C45" s="10">
        <f>+C39+C40+C41+C42</f>
        <v>95212.468</v>
      </c>
      <c r="D45" s="10">
        <f>+D39+D40+D41+D42</f>
        <v>90534.81255</v>
      </c>
      <c r="E45" s="10">
        <f>+E39+E40+E41+E42</f>
        <v>289204.47978</v>
      </c>
      <c r="F45" s="11">
        <f>+F39+F40+F41+F42</f>
        <v>96401.49325999999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ht="12.75" hidden="1"/>
    <row r="47" ht="12.75" hidden="1"/>
  </sheetData>
  <sheetProtection/>
  <mergeCells count="15">
    <mergeCell ref="A2:G2"/>
    <mergeCell ref="A13:U13"/>
    <mergeCell ref="A14:E14"/>
    <mergeCell ref="A15:A16"/>
    <mergeCell ref="B15:F15"/>
    <mergeCell ref="G15:K15"/>
    <mergeCell ref="L15:P15"/>
    <mergeCell ref="Q15:U15"/>
    <mergeCell ref="A27:A28"/>
    <mergeCell ref="B27:F27"/>
    <mergeCell ref="G27:K27"/>
    <mergeCell ref="L27:P27"/>
    <mergeCell ref="Q27:U27"/>
    <mergeCell ref="A37:A38"/>
    <mergeCell ref="B37:F37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"/>
    </sheetView>
  </sheetViews>
  <sheetFormatPr defaultColWidth="9.00390625" defaultRowHeight="12.75"/>
  <cols>
    <col min="1" max="1" width="5.625" style="37" customWidth="1"/>
    <col min="2" max="2" width="30.00390625" style="37" customWidth="1"/>
    <col min="3" max="4" width="11.875" style="37" customWidth="1"/>
    <col min="5" max="5" width="11.875" style="68" customWidth="1"/>
    <col min="6" max="8" width="11.875" style="37" customWidth="1"/>
    <col min="9" max="9" width="11.875" style="83" customWidth="1"/>
    <col min="10" max="12" width="11.875" style="37" customWidth="1"/>
    <col min="13" max="13" width="11.875" style="68" customWidth="1"/>
    <col min="14" max="16" width="11.875" style="37" customWidth="1"/>
    <col min="17" max="17" width="11.875" style="83" customWidth="1"/>
    <col min="18" max="18" width="11.875" style="68" customWidth="1"/>
    <col min="19" max="19" width="9.125" style="37" customWidth="1"/>
    <col min="20" max="20" width="9.125" style="74" customWidth="1"/>
    <col min="21" max="16384" width="9.125" style="37" customWidth="1"/>
  </cols>
  <sheetData>
    <row r="1" spans="5:20" s="15" customFormat="1" ht="15.75">
      <c r="E1" s="104"/>
      <c r="I1" s="105"/>
      <c r="M1" s="104"/>
      <c r="Q1" s="15" t="s">
        <v>145</v>
      </c>
      <c r="R1" s="104"/>
      <c r="T1" s="106"/>
    </row>
    <row r="2" spans="1:20" s="15" customFormat="1" ht="66.75" customHeight="1">
      <c r="A2" s="240" t="s">
        <v>177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T2" s="106"/>
    </row>
    <row r="4" spans="1:20" s="51" customFormat="1" ht="38.25" customHeight="1">
      <c r="A4" s="242" t="s">
        <v>0</v>
      </c>
      <c r="B4" s="242" t="s">
        <v>1</v>
      </c>
      <c r="C4" s="244" t="s">
        <v>65</v>
      </c>
      <c r="D4" s="245"/>
      <c r="E4" s="246"/>
      <c r="F4" s="245" t="s">
        <v>66</v>
      </c>
      <c r="G4" s="245"/>
      <c r="H4" s="245"/>
      <c r="I4" s="246"/>
      <c r="J4" s="245" t="s">
        <v>70</v>
      </c>
      <c r="K4" s="245"/>
      <c r="L4" s="245"/>
      <c r="M4" s="246"/>
      <c r="N4" s="247" t="s">
        <v>74</v>
      </c>
      <c r="O4" s="247"/>
      <c r="P4" s="247"/>
      <c r="Q4" s="247"/>
      <c r="R4" s="241" t="s">
        <v>75</v>
      </c>
      <c r="T4" s="108"/>
    </row>
    <row r="5" spans="1:20" s="51" customFormat="1" ht="103.5" customHeight="1">
      <c r="A5" s="243"/>
      <c r="B5" s="243"/>
      <c r="C5" s="49" t="s">
        <v>73</v>
      </c>
      <c r="D5" s="49" t="s">
        <v>67</v>
      </c>
      <c r="E5" s="109" t="s">
        <v>195</v>
      </c>
      <c r="F5" s="107" t="s">
        <v>73</v>
      </c>
      <c r="G5" s="107" t="s">
        <v>60</v>
      </c>
      <c r="H5" s="107" t="s">
        <v>67</v>
      </c>
      <c r="I5" s="110" t="s">
        <v>196</v>
      </c>
      <c r="J5" s="107" t="s">
        <v>73</v>
      </c>
      <c r="K5" s="107" t="s">
        <v>60</v>
      </c>
      <c r="L5" s="107" t="s">
        <v>67</v>
      </c>
      <c r="M5" s="109" t="s">
        <v>193</v>
      </c>
      <c r="N5" s="107" t="s">
        <v>73</v>
      </c>
      <c r="O5" s="107" t="s">
        <v>60</v>
      </c>
      <c r="P5" s="107" t="s">
        <v>67</v>
      </c>
      <c r="Q5" s="110" t="s">
        <v>197</v>
      </c>
      <c r="R5" s="241"/>
      <c r="T5" s="111"/>
    </row>
    <row r="6" spans="1:18" ht="12.75">
      <c r="A6" s="84">
        <v>1</v>
      </c>
      <c r="B6" s="84">
        <v>2</v>
      </c>
      <c r="C6" s="85">
        <v>3</v>
      </c>
      <c r="D6" s="85">
        <v>4</v>
      </c>
      <c r="E6" s="86">
        <v>5</v>
      </c>
      <c r="F6" s="87">
        <v>10</v>
      </c>
      <c r="G6" s="87">
        <v>12</v>
      </c>
      <c r="H6" s="87">
        <v>13</v>
      </c>
      <c r="I6" s="88">
        <v>14</v>
      </c>
      <c r="J6" s="87">
        <v>6</v>
      </c>
      <c r="K6" s="87">
        <v>7</v>
      </c>
      <c r="L6" s="87">
        <v>8</v>
      </c>
      <c r="M6" s="86">
        <v>9</v>
      </c>
      <c r="N6" s="87">
        <v>15</v>
      </c>
      <c r="O6" s="87">
        <v>16</v>
      </c>
      <c r="P6" s="87">
        <v>17</v>
      </c>
      <c r="Q6" s="88">
        <v>18</v>
      </c>
      <c r="R6" s="86">
        <v>19</v>
      </c>
    </row>
    <row r="7" spans="1:18" ht="20.25" customHeight="1">
      <c r="A7" s="40">
        <v>1</v>
      </c>
      <c r="B7" s="41" t="s">
        <v>117</v>
      </c>
      <c r="C7" s="89">
        <f>+'Коэф.масшт.'!C5</f>
        <v>6226</v>
      </c>
      <c r="D7" s="43">
        <f>+'Коэф.масшт.'!D5</f>
        <v>0.8510761323482172</v>
      </c>
      <c r="E7" s="90">
        <f>((C7*D7/C7)/(C15*D15/C15))*'Расчет доли '!G6/100</f>
        <v>0.33450396298529894</v>
      </c>
      <c r="F7" s="89">
        <f>+'Коэф.масшт.'!C5</f>
        <v>6226</v>
      </c>
      <c r="G7" s="91">
        <f>+'Коэф.дисп'!D6</f>
        <v>1.1532283970446515</v>
      </c>
      <c r="H7" s="43">
        <f>+'Коэф.масшт.'!D5</f>
        <v>0.8510761323482172</v>
      </c>
      <c r="I7" s="90">
        <f>(F7*G7*H7/F7)/(F15*G15*H15/F15)*'Расчет доли '!G7/100</f>
        <v>0.1845295466536797</v>
      </c>
      <c r="J7" s="89">
        <f>'Коэф.масшт.'!C5</f>
        <v>6226</v>
      </c>
      <c r="K7" s="91">
        <f>+'Коэф.дисп'!D6</f>
        <v>1.1532283970446515</v>
      </c>
      <c r="L7" s="43">
        <f>+'Коэф.масшт.'!D5</f>
        <v>0.8510761323482172</v>
      </c>
      <c r="M7" s="90">
        <f>(J7*K7*L7/J7)/(J15*K15*L15/J15)*'Расчет доли '!G8/100</f>
        <v>0.17305970944665158</v>
      </c>
      <c r="N7" s="92">
        <f>'Коэф.масшт.'!C5</f>
        <v>6226</v>
      </c>
      <c r="O7" s="91">
        <f aca="true" t="shared" si="0" ref="O7:O15">+K7</f>
        <v>1.1532283970446515</v>
      </c>
      <c r="P7" s="43">
        <f>'Коэф.масшт.'!D5</f>
        <v>0.8510761323482172</v>
      </c>
      <c r="Q7" s="90">
        <f>(O7*P7)/(O15*P15)*'Расчет доли '!G9/100</f>
        <v>0.5784803711765282</v>
      </c>
      <c r="R7" s="90">
        <f>+E7+I7+M7+Q7</f>
        <v>1.2705735902621584</v>
      </c>
    </row>
    <row r="8" spans="1:18" ht="20.25" customHeight="1">
      <c r="A8" s="40">
        <v>2</v>
      </c>
      <c r="B8" s="41" t="s">
        <v>118</v>
      </c>
      <c r="C8" s="89">
        <f>+'Коэф.масшт.'!C6</f>
        <v>5566</v>
      </c>
      <c r="D8" s="43">
        <f>+'Коэф.масшт.'!D6</f>
        <v>0.8808480057491915</v>
      </c>
      <c r="E8" s="90">
        <f>((C8*D8/C8)/(C15*D15/C15))*'Расчет доли '!G6/100</f>
        <v>0.3462053951599329</v>
      </c>
      <c r="F8" s="89">
        <f>+'Коэф.масшт.'!C6</f>
        <v>5566</v>
      </c>
      <c r="G8" s="91">
        <f>+'Коэф.дисп'!D8</f>
        <v>1.0395256916996047</v>
      </c>
      <c r="H8" s="43">
        <f>+'Коэф.масшт.'!D6</f>
        <v>0.8808480057491915</v>
      </c>
      <c r="I8" s="90">
        <f>(F8*G8*H8/F8)/(F15*G15*H15/F15)*'Расчет доли '!G7/100</f>
        <v>0.1721544995985845</v>
      </c>
      <c r="J8" s="89">
        <f>'Коэф.масшт.'!C6</f>
        <v>5566</v>
      </c>
      <c r="K8" s="91">
        <f>+'Коэф.дисп'!D8</f>
        <v>1.0395256916996047</v>
      </c>
      <c r="L8" s="43">
        <f>+'Коэф.масшт.'!D6</f>
        <v>0.8808480057491915</v>
      </c>
      <c r="M8" s="90">
        <f>((J8*K8*L8/J8)/(J15*K15*L15/J15))*'Расчет доли '!G8/100</f>
        <v>0.1614538604832725</v>
      </c>
      <c r="N8" s="92">
        <f>'Коэф.масшт.'!C6</f>
        <v>5566</v>
      </c>
      <c r="O8" s="91">
        <f t="shared" si="0"/>
        <v>1.0395256916996047</v>
      </c>
      <c r="P8" s="43">
        <f>'Коэф.масшт.'!D6</f>
        <v>0.8808480057491915</v>
      </c>
      <c r="Q8" s="90">
        <f>(O8*P8)/(O15*P15)*'Расчет доли '!G9/100</f>
        <v>0.5396859236553744</v>
      </c>
      <c r="R8" s="90">
        <f aca="true" t="shared" si="1" ref="R8:R15">+E8+I8+M8+Q8</f>
        <v>1.2194996788971642</v>
      </c>
    </row>
    <row r="9" spans="1:18" ht="20.25" customHeight="1">
      <c r="A9" s="40">
        <v>3</v>
      </c>
      <c r="B9" s="41" t="s">
        <v>119</v>
      </c>
      <c r="C9" s="89">
        <f>+'Коэф.масшт.'!C7</f>
        <v>3986</v>
      </c>
      <c r="D9" s="43">
        <f>+'Коэф.масшт.'!D7</f>
        <v>0.9921726041144004</v>
      </c>
      <c r="E9" s="90">
        <f>((C9*D9/C9)/(C15*D15/C15))*'Расчет доли '!G6/100</f>
        <v>0.3899600228783296</v>
      </c>
      <c r="F9" s="89">
        <f>+'Коэф.масшт.'!C7</f>
        <v>3986</v>
      </c>
      <c r="G9" s="91">
        <f>+'Коэф.дисп'!D10</f>
        <v>1.378073256397391</v>
      </c>
      <c r="H9" s="43">
        <f>+'Коэф.масшт.'!D7</f>
        <v>0.9921726041144004</v>
      </c>
      <c r="I9" s="90">
        <f>(F9*G9*H9/F9)/(F15*G15*H15/F15)*'Расчет доли '!G7/100</f>
        <v>0.25706426656615555</v>
      </c>
      <c r="J9" s="89">
        <f>'Коэф.масшт.'!C7</f>
        <v>3986</v>
      </c>
      <c r="K9" s="91">
        <f>+'Коэф.дисп'!D10</f>
        <v>1.378073256397391</v>
      </c>
      <c r="L9" s="43">
        <f>+'Коэф.масшт.'!D7</f>
        <v>0.9921726041144004</v>
      </c>
      <c r="M9" s="90">
        <f>((J9*K9*L9/J9)/(J15*K15*L15/J15))*'Расчет доли '!G8/100</f>
        <v>0.24108587533978176</v>
      </c>
      <c r="N9" s="92">
        <f>'Коэф.масшт.'!C7</f>
        <v>3986</v>
      </c>
      <c r="O9" s="91">
        <f t="shared" si="0"/>
        <v>1.378073256397391</v>
      </c>
      <c r="P9" s="43">
        <f>'Коэф.масшт.'!D7</f>
        <v>0.9921726041144004</v>
      </c>
      <c r="Q9" s="90">
        <f>(O9*P9)/(O15*P15)*'Расчет доли '!G9/100</f>
        <v>0.805868951808029</v>
      </c>
      <c r="R9" s="90">
        <f t="shared" si="1"/>
        <v>1.693979116592296</v>
      </c>
    </row>
    <row r="10" spans="1:18" ht="20.25" customHeight="1">
      <c r="A10" s="40">
        <v>4</v>
      </c>
      <c r="B10" s="41" t="s">
        <v>120</v>
      </c>
      <c r="C10" s="89">
        <f>+'Коэф.масшт.'!C8</f>
        <v>1529</v>
      </c>
      <c r="D10" s="43">
        <f>+'Коэф.масшт.'!D8</f>
        <v>1.6223675604970569</v>
      </c>
      <c r="E10" s="90">
        <f>((C10*D10/C10)/(C15*D15/C15))*'Расчет доли '!G6/100</f>
        <v>0.6376496270759202</v>
      </c>
      <c r="F10" s="89">
        <f>+'Коэф.масшт.'!C8</f>
        <v>1529</v>
      </c>
      <c r="G10" s="91">
        <f>+'Коэф.дисп'!D12</f>
        <v>1.512099411379987</v>
      </c>
      <c r="H10" s="43">
        <f>+'Коэф.масшт.'!D8</f>
        <v>1.6223675604970569</v>
      </c>
      <c r="I10" s="90">
        <f>(F10*G10*H10/F10)/(F15*G15*H15/F15)*'Расчет доли '!G7/100</f>
        <v>0.46122386826846407</v>
      </c>
      <c r="J10" s="89">
        <f>'Коэф.масшт.'!C8</f>
        <v>1529</v>
      </c>
      <c r="K10" s="91">
        <f>+'Коэф.дисп'!D12</f>
        <v>1.512099411379987</v>
      </c>
      <c r="L10" s="43">
        <f>+'Коэф.масшт.'!D8</f>
        <v>1.6223675604970569</v>
      </c>
      <c r="M10" s="90">
        <f>((J10*K10*L10/J10)/(J15*K15*L15/J15))*'Расчет доли '!G8/100</f>
        <v>0.4325554908678329</v>
      </c>
      <c r="N10" s="92">
        <f>'Коэф.масшт.'!C8</f>
        <v>1529</v>
      </c>
      <c r="O10" s="91">
        <f t="shared" si="0"/>
        <v>1.512099411379987</v>
      </c>
      <c r="P10" s="43">
        <f>'Коэф.масшт.'!D8</f>
        <v>1.6223675604970569</v>
      </c>
      <c r="Q10" s="90">
        <f>(O10*P10)/(O15*P15)*'Расчет доли '!G9/100</f>
        <v>1.4458874437715679</v>
      </c>
      <c r="R10" s="90">
        <f t="shared" si="1"/>
        <v>2.977316429983785</v>
      </c>
    </row>
    <row r="11" spans="1:18" ht="20.25" customHeight="1">
      <c r="A11" s="40">
        <v>5</v>
      </c>
      <c r="B11" s="41" t="s">
        <v>121</v>
      </c>
      <c r="C11" s="89">
        <f>+'Коэф.масшт.'!C9</f>
        <v>3970</v>
      </c>
      <c r="D11" s="43">
        <f>+'Коэф.масшт.'!D9</f>
        <v>0.9937531486146095</v>
      </c>
      <c r="E11" s="90">
        <f>((C11*D11/C11)/(C15*D15/C15))*'Расчет доли '!G6/100</f>
        <v>0.3905812345172176</v>
      </c>
      <c r="F11" s="89">
        <f>+'Коэф.масшт.'!C9</f>
        <v>3970</v>
      </c>
      <c r="G11" s="91">
        <f>+'Коэф.дисп'!D14</f>
        <v>1.1350125944584384</v>
      </c>
      <c r="H11" s="43">
        <f>+'Коэф.масшт.'!D9</f>
        <v>0.9937531486146095</v>
      </c>
      <c r="I11" s="90">
        <f>(F11*G11*H11/F11)/(F15*G15*H15/F15)*'Расчет доли '!G7/100</f>
        <v>0.21206127776837871</v>
      </c>
      <c r="J11" s="89">
        <f>'Коэф.масшт.'!C9</f>
        <v>3970</v>
      </c>
      <c r="K11" s="91">
        <f>+'Коэф.дисп'!D14</f>
        <v>1.1350125944584384</v>
      </c>
      <c r="L11" s="43">
        <f>+'Коэф.масшт.'!D9</f>
        <v>0.9937531486146095</v>
      </c>
      <c r="M11" s="90">
        <f>((J11*K11*L11/J11)/(J15*K15*L15/J15))*'Расчет доли '!G8/100</f>
        <v>0.19888014565145778</v>
      </c>
      <c r="N11" s="92">
        <f>'Коэф.масшт.'!C9</f>
        <v>3970</v>
      </c>
      <c r="O11" s="91">
        <f t="shared" si="0"/>
        <v>1.1350125944584384</v>
      </c>
      <c r="P11" s="43">
        <f>'Коэф.масшт.'!D9</f>
        <v>0.9937531486146095</v>
      </c>
      <c r="Q11" s="90">
        <f>(O11*P11)/(O15*P15)*'Расчет доли '!G9/100</f>
        <v>0.6647894003980328</v>
      </c>
      <c r="R11" s="90">
        <f t="shared" si="1"/>
        <v>1.4663120583350868</v>
      </c>
    </row>
    <row r="12" spans="1:18" ht="20.25" customHeight="1">
      <c r="A12" s="40">
        <v>6</v>
      </c>
      <c r="B12" s="41" t="s">
        <v>122</v>
      </c>
      <c r="C12" s="89">
        <f>+'Коэф.масшт.'!C10</f>
        <v>4544</v>
      </c>
      <c r="D12" s="43">
        <f>+'Коэф.масшт.'!D10</f>
        <v>0.9440140845070424</v>
      </c>
      <c r="E12" s="90">
        <f>((C12*D12/C12)/(C15*D15/C15))*'Расчет доли '!G6/100</f>
        <v>0.3710319680923032</v>
      </c>
      <c r="F12" s="89">
        <f>+'Коэф.масшт.'!C10</f>
        <v>4544</v>
      </c>
      <c r="G12" s="91">
        <f>+'Коэф.дисп'!D16</f>
        <v>1.345730633802817</v>
      </c>
      <c r="H12" s="43">
        <f>+'Коэф.масшт.'!D10</f>
        <v>0.9440140845070424</v>
      </c>
      <c r="I12" s="90">
        <f>(F12*G12*H12/F12)/(F15*G15*H15/F15)*'Расчет доли '!G7/100</f>
        <v>0.23884644862282978</v>
      </c>
      <c r="J12" s="89">
        <f>'Коэф.масшт.'!C10</f>
        <v>4544</v>
      </c>
      <c r="K12" s="91">
        <f>+'Коэф.дисп'!D16</f>
        <v>1.345730633802817</v>
      </c>
      <c r="L12" s="43">
        <f>+'Коэф.масшт.'!D10</f>
        <v>0.9440140845070424</v>
      </c>
      <c r="M12" s="90">
        <f>((J12*K12*L12/J12)/(J15*K15*L15/J15))*'Расчет доли '!G8/100</f>
        <v>0.22400042568037848</v>
      </c>
      <c r="N12" s="92">
        <f>'Коэф.масшт.'!C10</f>
        <v>4544</v>
      </c>
      <c r="O12" s="91">
        <f t="shared" si="0"/>
        <v>1.345730633802817</v>
      </c>
      <c r="P12" s="43">
        <f>'Коэф.масшт.'!D10</f>
        <v>0.9440140845070424</v>
      </c>
      <c r="Q12" s="90">
        <f>(O12*P12)/(O15*P15)*'Расчет доли '!G9/100</f>
        <v>0.7487580431378842</v>
      </c>
      <c r="R12" s="90">
        <f t="shared" si="1"/>
        <v>1.5826368855333957</v>
      </c>
    </row>
    <row r="13" spans="1:18" ht="20.25" customHeight="1">
      <c r="A13" s="40">
        <v>7</v>
      </c>
      <c r="B13" s="41" t="s">
        <v>123</v>
      </c>
      <c r="C13" s="89">
        <f>+'Коэф.масшт.'!C11</f>
        <v>2120</v>
      </c>
      <c r="D13" s="43">
        <f>+'Коэф.масшт.'!D11</f>
        <v>1.3373584905660376</v>
      </c>
      <c r="E13" s="90">
        <f>((C13*D13/C13)/(C15*D15/C15))*'Расчет доли '!G6/100</f>
        <v>0.5256306668970755</v>
      </c>
      <c r="F13" s="89">
        <f>+'Коэф.масшт.'!C11</f>
        <v>2120</v>
      </c>
      <c r="G13" s="91">
        <f>+'Коэф.дисп'!D18</f>
        <v>1.0764150943396227</v>
      </c>
      <c r="H13" s="43">
        <f>+'Коэф.масшт.'!D11</f>
        <v>1.3373584905660376</v>
      </c>
      <c r="I13" s="90">
        <f>(F13*G13*H13/F13)/(F15*G15*H15/F15)*'Расчет доли '!G7/100</f>
        <v>0.2706510984438133</v>
      </c>
      <c r="J13" s="89">
        <f>'Коэф.масшт.'!C11</f>
        <v>2120</v>
      </c>
      <c r="K13" s="91">
        <f>+'Коэф.дисп'!D18</f>
        <v>1.0764150943396227</v>
      </c>
      <c r="L13" s="43">
        <f>+'Коэф.масшт.'!D11</f>
        <v>1.3373584905660376</v>
      </c>
      <c r="M13" s="90">
        <f>((J13*K13*L13/J13)/(J15*K15*L15/J15))*'Расчет доли '!G8/100</f>
        <v>0.2538281879920795</v>
      </c>
      <c r="N13" s="92">
        <f>'Коэф.масшт.'!C11</f>
        <v>2120</v>
      </c>
      <c r="O13" s="91">
        <f t="shared" si="0"/>
        <v>1.0764150943396227</v>
      </c>
      <c r="P13" s="43">
        <f>'Коэф.масшт.'!D11</f>
        <v>1.3373584905660376</v>
      </c>
      <c r="Q13" s="90">
        <f>(O13*P13)/(O15*P15)*'Расчет доли '!G9/100</f>
        <v>0.8484622150020877</v>
      </c>
      <c r="R13" s="90">
        <f t="shared" si="1"/>
        <v>1.898572168335056</v>
      </c>
    </row>
    <row r="14" spans="1:18" ht="20.25" customHeight="1">
      <c r="A14" s="40">
        <v>8</v>
      </c>
      <c r="B14" s="41" t="s">
        <v>124</v>
      </c>
      <c r="C14" s="89">
        <f>+'Коэф.масшт.'!C12</f>
        <v>3323</v>
      </c>
      <c r="D14" s="43">
        <f>+'Коэф.масшт.'!D12</f>
        <v>1.0704182967198315</v>
      </c>
      <c r="E14" s="90">
        <f>((C14*D14/C14)/(C15*D15/C15))*'Расчет доли '!G6/100</f>
        <v>0.4207134340811916</v>
      </c>
      <c r="F14" s="89">
        <f>+'Коэф.масшт.'!C12</f>
        <v>3323</v>
      </c>
      <c r="G14" s="91">
        <f>+'Коэф.дисп'!D20</f>
        <v>1.1658140234727656</v>
      </c>
      <c r="H14" s="43">
        <f>+'Коэф.масшт.'!D12</f>
        <v>1.0704182967198315</v>
      </c>
      <c r="I14" s="90">
        <f>(F14*G14*H14/F14)/(F15*G15*H15/F15)*'Расчет доли '!G7/100</f>
        <v>0.234619969828475</v>
      </c>
      <c r="J14" s="89">
        <f>'Коэф.масшт.'!C12</f>
        <v>3323</v>
      </c>
      <c r="K14" s="91">
        <f>+'Коэф.дисп'!D20</f>
        <v>1.1658140234727656</v>
      </c>
      <c r="L14" s="43">
        <f>+'Коэф.масшт.'!D12</f>
        <v>1.0704182967198315</v>
      </c>
      <c r="M14" s="90">
        <f>((J14*K14*L14/J14)/(J15*K15*L15/J15))*'Расчет доли '!G8/100</f>
        <v>0.22003665291120666</v>
      </c>
      <c r="N14" s="92">
        <f>'Коэф.масшт.'!C12</f>
        <v>3323</v>
      </c>
      <c r="O14" s="91">
        <f t="shared" si="0"/>
        <v>1.1658140234727656</v>
      </c>
      <c r="P14" s="43">
        <f>'Коэф.масшт.'!D12</f>
        <v>1.0704182967198315</v>
      </c>
      <c r="Q14" s="90">
        <f>(O14*P14)/(O15*P15)*'Расчет доли '!G9/100</f>
        <v>0.7355084846467626</v>
      </c>
      <c r="R14" s="90">
        <f t="shared" si="1"/>
        <v>1.6108785414676356</v>
      </c>
    </row>
    <row r="15" spans="1:20" s="68" customFormat="1" ht="20.25" customHeight="1">
      <c r="A15" s="47"/>
      <c r="B15" s="44" t="s">
        <v>68</v>
      </c>
      <c r="C15" s="93">
        <f>SUM(C7:C14)</f>
        <v>31264</v>
      </c>
      <c r="D15" s="60">
        <f>+'Коэф.масшт.'!D13</f>
        <v>0.6499999999999999</v>
      </c>
      <c r="E15" s="90">
        <f>((C15*D15/C15)/(C15*D15/C15))*'Расчет доли '!G6/100</f>
        <v>0.2554737087274866</v>
      </c>
      <c r="F15" s="94">
        <f>SUM(F7:F14)</f>
        <v>31264</v>
      </c>
      <c r="G15" s="95">
        <f>+'Коэф.дисп'!D91</f>
        <v>1.200997952917093</v>
      </c>
      <c r="H15" s="60">
        <f>+'Коэф.масшт.'!D13</f>
        <v>0.6499999999999999</v>
      </c>
      <c r="I15" s="90">
        <f>(F15*G15*H15/F15)/(F15*G15*H15/F15)*'Расчет доли '!G7/100</f>
        <v>0.14677017071896478</v>
      </c>
      <c r="J15" s="94">
        <f>SUM(J7:J14)</f>
        <v>31264</v>
      </c>
      <c r="K15" s="95">
        <f>+'Коэф.дисп'!D91</f>
        <v>1.200997952917093</v>
      </c>
      <c r="L15" s="60">
        <f>+'Коэф.масшт.'!D13</f>
        <v>0.6499999999999999</v>
      </c>
      <c r="M15" s="90">
        <f>((J15*K15*L15/J15)/(J15*K15*L15/J15))*'Расчет доли '!G8/100</f>
        <v>0.13764735003511153</v>
      </c>
      <c r="N15" s="94">
        <f>SUM(N7:N14)</f>
        <v>31264</v>
      </c>
      <c r="O15" s="95">
        <f t="shared" si="0"/>
        <v>1.200997952917093</v>
      </c>
      <c r="P15" s="60">
        <f>'Коэф.масшт.'!D13</f>
        <v>0.6499999999999999</v>
      </c>
      <c r="Q15" s="90">
        <f>(O15*P15)/(O15*P15)*'Расчет доли '!G9/100</f>
        <v>0.46010877051843707</v>
      </c>
      <c r="R15" s="90">
        <f t="shared" si="1"/>
        <v>1</v>
      </c>
      <c r="T15" s="96"/>
    </row>
    <row r="16" spans="2:17" ht="12.75">
      <c r="B16" s="39"/>
      <c r="C16" s="39"/>
      <c r="D16" s="39"/>
      <c r="E16" s="97"/>
      <c r="F16" s="98"/>
      <c r="G16" s="98"/>
      <c r="H16" s="98"/>
      <c r="I16" s="99"/>
      <c r="J16" s="100"/>
      <c r="K16" s="100"/>
      <c r="L16" s="100"/>
      <c r="M16" s="101"/>
      <c r="N16" s="102"/>
      <c r="O16" s="102"/>
      <c r="P16" s="102"/>
      <c r="Q16" s="99"/>
    </row>
    <row r="17" spans="2:4" ht="12.75">
      <c r="B17" s="225"/>
      <c r="C17" s="225"/>
      <c r="D17" s="225"/>
    </row>
  </sheetData>
  <sheetProtection/>
  <mergeCells count="9">
    <mergeCell ref="A2:R2"/>
    <mergeCell ref="B17:D17"/>
    <mergeCell ref="R4:R5"/>
    <mergeCell ref="A4:A5"/>
    <mergeCell ref="B4:B5"/>
    <mergeCell ref="C4:E4"/>
    <mergeCell ref="J4:M4"/>
    <mergeCell ref="N4:Q4"/>
    <mergeCell ref="F4:I4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scale="58" r:id="rId1"/>
  <colBreaks count="1" manualBreakCount="1">
    <brk id="1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4">
      <selection activeCell="G17" sqref="G17"/>
    </sheetView>
  </sheetViews>
  <sheetFormatPr defaultColWidth="9.00390625" defaultRowHeight="12.75"/>
  <cols>
    <col min="1" max="1" width="33.875" style="102" customWidth="1"/>
    <col min="2" max="2" width="12.875" style="102" customWidth="1"/>
    <col min="3" max="3" width="12.875" style="112" customWidth="1"/>
    <col min="4" max="4" width="12.875" style="99" customWidth="1"/>
    <col min="5" max="5" width="12.875" style="102" customWidth="1"/>
    <col min="6" max="6" width="12.875" style="112" customWidth="1"/>
    <col min="7" max="7" width="12.875" style="99" customWidth="1"/>
    <col min="8" max="10" width="12.875" style="102" customWidth="1"/>
    <col min="11" max="11" width="0" style="102" hidden="1" customWidth="1"/>
    <col min="12" max="12" width="9.125" style="102" customWidth="1"/>
    <col min="13" max="16384" width="9.125" style="37" customWidth="1"/>
  </cols>
  <sheetData>
    <row r="1" spans="1:12" s="15" customFormat="1" ht="18" customHeight="1">
      <c r="A1" s="134"/>
      <c r="B1" s="134"/>
      <c r="C1" s="135"/>
      <c r="D1" s="136"/>
      <c r="E1" s="134"/>
      <c r="F1" s="135"/>
      <c r="G1" s="136"/>
      <c r="H1" s="134"/>
      <c r="I1" s="134" t="s">
        <v>146</v>
      </c>
      <c r="J1" s="134"/>
      <c r="K1" s="134"/>
      <c r="L1" s="134"/>
    </row>
    <row r="2" spans="1:12" s="15" customFormat="1" ht="60" customHeight="1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137"/>
      <c r="L2" s="137"/>
    </row>
    <row r="3" spans="1:12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3" s="51" customFormat="1" ht="32.25" customHeight="1">
      <c r="A4" s="254" t="s">
        <v>1</v>
      </c>
      <c r="B4" s="249" t="s">
        <v>105</v>
      </c>
      <c r="C4" s="249"/>
      <c r="D4" s="249"/>
      <c r="E4" s="251" t="s">
        <v>107</v>
      </c>
      <c r="F4" s="252"/>
      <c r="G4" s="253"/>
      <c r="H4" s="249" t="s">
        <v>101</v>
      </c>
      <c r="I4" s="249"/>
      <c r="J4" s="249"/>
      <c r="K4" s="114"/>
      <c r="L4" s="114"/>
      <c r="M4" s="53"/>
    </row>
    <row r="5" spans="1:12" s="51" customFormat="1" ht="102" customHeight="1">
      <c r="A5" s="255"/>
      <c r="B5" s="113" t="s">
        <v>79</v>
      </c>
      <c r="C5" s="115" t="s">
        <v>80</v>
      </c>
      <c r="D5" s="116" t="s">
        <v>81</v>
      </c>
      <c r="E5" s="113" t="s">
        <v>79</v>
      </c>
      <c r="F5" s="115" t="s">
        <v>80</v>
      </c>
      <c r="G5" s="116" t="s">
        <v>108</v>
      </c>
      <c r="H5" s="107" t="s">
        <v>79</v>
      </c>
      <c r="I5" s="117" t="s">
        <v>80</v>
      </c>
      <c r="J5" s="110" t="s">
        <v>81</v>
      </c>
      <c r="K5" s="118" t="s">
        <v>116</v>
      </c>
      <c r="L5" s="119"/>
    </row>
    <row r="6" spans="1:12" ht="12.75">
      <c r="A6" s="87">
        <v>1</v>
      </c>
      <c r="B6" s="87">
        <v>2</v>
      </c>
      <c r="C6" s="120">
        <v>3</v>
      </c>
      <c r="D6" s="121">
        <v>4</v>
      </c>
      <c r="E6" s="87"/>
      <c r="F6" s="120"/>
      <c r="G6" s="121"/>
      <c r="H6" s="63"/>
      <c r="I6" s="63"/>
      <c r="J6" s="63"/>
      <c r="K6" s="122"/>
      <c r="L6" s="122"/>
    </row>
    <row r="7" spans="1:13" ht="23.25" customHeight="1">
      <c r="A7" s="41" t="s">
        <v>117</v>
      </c>
      <c r="B7" s="123">
        <f>ИДП!D6</f>
        <v>1.0156283761926639</v>
      </c>
      <c r="C7" s="123">
        <f>+ИБР!R7</f>
        <v>1.2705735902621584</v>
      </c>
      <c r="D7" s="124">
        <f>B7/C7</f>
        <v>0.7993463613415013</v>
      </c>
      <c r="E7" s="123">
        <f>ИДП!G6</f>
        <v>1.0058233532706595</v>
      </c>
      <c r="F7" s="123">
        <f>ИБР!R7</f>
        <v>1.2705735902621584</v>
      </c>
      <c r="G7" s="124">
        <f>E7/F7</f>
        <v>0.7916293562052767</v>
      </c>
      <c r="H7" s="123">
        <f>ИДП!J6</f>
        <v>0.9750136610943997</v>
      </c>
      <c r="I7" s="123">
        <f>ИБР!R7</f>
        <v>1.2705735902621584</v>
      </c>
      <c r="J7" s="124">
        <f>H7/I7</f>
        <v>0.7673807078685024</v>
      </c>
      <c r="K7" s="125">
        <v>1.228</v>
      </c>
      <c r="L7" s="126"/>
      <c r="M7" s="127"/>
    </row>
    <row r="8" spans="1:13" ht="23.25" customHeight="1">
      <c r="A8" s="41" t="s">
        <v>118</v>
      </c>
      <c r="B8" s="123">
        <f>ИДП!D7</f>
        <v>0.8723424050101375</v>
      </c>
      <c r="C8" s="123">
        <f>+ИБР!R8</f>
        <v>1.2194996788971642</v>
      </c>
      <c r="D8" s="124">
        <f>B8/C8</f>
        <v>0.7153281137384365</v>
      </c>
      <c r="E8" s="123">
        <f>ИДП!G7</f>
        <v>0.863920685533349</v>
      </c>
      <c r="F8" s="123">
        <f>ИБР!R8</f>
        <v>1.2194996788971642</v>
      </c>
      <c r="G8" s="124">
        <f aca="true" t="shared" si="0" ref="G8:G14">E8/F8</f>
        <v>0.7084222328903133</v>
      </c>
      <c r="H8" s="123">
        <f>ИДП!J7</f>
        <v>0.8512496180366939</v>
      </c>
      <c r="I8" s="123">
        <f>ИБР!R8</f>
        <v>1.2194996788971642</v>
      </c>
      <c r="J8" s="124">
        <f aca="true" t="shared" si="1" ref="J8:J14">H8/I8</f>
        <v>0.6980318509034036</v>
      </c>
      <c r="K8" s="125">
        <v>0.336</v>
      </c>
      <c r="L8" s="126"/>
      <c r="M8" s="127"/>
    </row>
    <row r="9" spans="1:13" ht="23.25" customHeight="1">
      <c r="A9" s="41" t="s">
        <v>119</v>
      </c>
      <c r="B9" s="123">
        <f>ИДП!D8</f>
        <v>0.769615132421189</v>
      </c>
      <c r="C9" s="123">
        <f>+ИБР!R9</f>
        <v>1.693979116592296</v>
      </c>
      <c r="D9" s="124">
        <f aca="true" t="shared" si="2" ref="D9:D14">B9/C9</f>
        <v>0.45432386083329657</v>
      </c>
      <c r="E9" s="123">
        <f>ИДП!G8</f>
        <v>0.7872147275495327</v>
      </c>
      <c r="F9" s="123">
        <f>ИБР!R9</f>
        <v>1.693979116592296</v>
      </c>
      <c r="G9" s="124">
        <f t="shared" si="0"/>
        <v>0.46471336029994176</v>
      </c>
      <c r="H9" s="123">
        <f>ИДП!J8</f>
        <v>0.8383723583615977</v>
      </c>
      <c r="I9" s="123">
        <f>ИБР!R9</f>
        <v>1.693979116592296</v>
      </c>
      <c r="J9" s="124">
        <f t="shared" si="1"/>
        <v>0.49491304240403794</v>
      </c>
      <c r="K9" s="125">
        <v>0.214</v>
      </c>
      <c r="L9" s="126"/>
      <c r="M9" s="127"/>
    </row>
    <row r="10" spans="1:13" ht="23.25" customHeight="1">
      <c r="A10" s="41" t="s">
        <v>120</v>
      </c>
      <c r="B10" s="123">
        <f>ИДП!D9</f>
        <v>1.0636909547671303</v>
      </c>
      <c r="C10" s="123">
        <f>+ИБР!R10</f>
        <v>2.977316429983785</v>
      </c>
      <c r="D10" s="124">
        <f t="shared" si="2"/>
        <v>0.35726500013736306</v>
      </c>
      <c r="E10" s="123">
        <f>ИДП!G9</f>
        <v>1.1263583433488182</v>
      </c>
      <c r="F10" s="123">
        <f>ИБР!R10</f>
        <v>2.977316429983785</v>
      </c>
      <c r="G10" s="124">
        <f t="shared" si="0"/>
        <v>0.37831327970569545</v>
      </c>
      <c r="H10" s="123">
        <f>ИДП!J9</f>
        <v>1.2591161091340037</v>
      </c>
      <c r="I10" s="123">
        <f>ИБР!R10</f>
        <v>2.977316429983785</v>
      </c>
      <c r="J10" s="124">
        <f t="shared" si="1"/>
        <v>0.4229030197978859</v>
      </c>
      <c r="K10" s="125">
        <v>0.341</v>
      </c>
      <c r="L10" s="126"/>
      <c r="M10" s="127"/>
    </row>
    <row r="11" spans="1:13" ht="23.25" customHeight="1">
      <c r="A11" s="41" t="s">
        <v>121</v>
      </c>
      <c r="B11" s="123">
        <f>ИДП!D10</f>
        <v>0.8586886074759733</v>
      </c>
      <c r="C11" s="123">
        <f>+ИБР!R11</f>
        <v>1.4663120583350868</v>
      </c>
      <c r="D11" s="124">
        <f t="shared" si="2"/>
        <v>0.5856110932150179</v>
      </c>
      <c r="E11" s="123">
        <f>ИДП!G10</f>
        <v>0.8527820658044809</v>
      </c>
      <c r="F11" s="123">
        <f>ИБР!R11</f>
        <v>1.4663120583350868</v>
      </c>
      <c r="G11" s="124">
        <f t="shared" si="0"/>
        <v>0.5815829317892713</v>
      </c>
      <c r="H11" s="123">
        <f>ИДП!J10</f>
        <v>0.8685227592932196</v>
      </c>
      <c r="I11" s="123">
        <f>ИБР!R11</f>
        <v>1.4663120583350868</v>
      </c>
      <c r="J11" s="124">
        <f t="shared" si="1"/>
        <v>0.5923178182680823</v>
      </c>
      <c r="K11" s="125">
        <v>0.267</v>
      </c>
      <c r="L11" s="126"/>
      <c r="M11" s="127"/>
    </row>
    <row r="12" spans="1:13" ht="23.25" customHeight="1">
      <c r="A12" s="41" t="s">
        <v>122</v>
      </c>
      <c r="B12" s="123">
        <f>ИДП!D11</f>
        <v>1.3259095320850778</v>
      </c>
      <c r="C12" s="123">
        <f>+ИБР!R12</f>
        <v>1.5826368855333957</v>
      </c>
      <c r="D12" s="124">
        <f t="shared" si="2"/>
        <v>0.8377850561963914</v>
      </c>
      <c r="E12" s="123">
        <f>ИДП!G11</f>
        <v>1.3131090101034704</v>
      </c>
      <c r="F12" s="123">
        <f>ИБР!R12</f>
        <v>1.5826368855333957</v>
      </c>
      <c r="G12" s="124">
        <f t="shared" si="0"/>
        <v>0.829696958352461</v>
      </c>
      <c r="H12" s="123">
        <f>ИДП!J11</f>
        <v>1.2646979482501661</v>
      </c>
      <c r="I12" s="123">
        <f>ИБР!R12</f>
        <v>1.5826368855333957</v>
      </c>
      <c r="J12" s="124">
        <f t="shared" si="1"/>
        <v>0.7991080959950743</v>
      </c>
      <c r="K12" s="125">
        <v>0.347</v>
      </c>
      <c r="L12" s="126"/>
      <c r="M12" s="127"/>
    </row>
    <row r="13" spans="1:13" ht="23.25" customHeight="1">
      <c r="A13" s="41" t="s">
        <v>123</v>
      </c>
      <c r="B13" s="123">
        <f>ИДП!D12</f>
        <v>0.7608172331913974</v>
      </c>
      <c r="C13" s="123">
        <f>+ИБР!R13</f>
        <v>1.898572168335056</v>
      </c>
      <c r="D13" s="124">
        <f t="shared" si="2"/>
        <v>0.4007312684134586</v>
      </c>
      <c r="E13" s="123">
        <f>ИДП!G12</f>
        <v>0.7917163325084327</v>
      </c>
      <c r="F13" s="123">
        <f>ИБР!R13</f>
        <v>1.898572168335056</v>
      </c>
      <c r="G13" s="124">
        <f t="shared" si="0"/>
        <v>0.4170061827055669</v>
      </c>
      <c r="H13" s="123">
        <f>ИДП!J12</f>
        <v>0.8641380918199202</v>
      </c>
      <c r="I13" s="123">
        <f>ИБР!R13</f>
        <v>1.898572168335056</v>
      </c>
      <c r="J13" s="124">
        <f t="shared" si="1"/>
        <v>0.4551515640186183</v>
      </c>
      <c r="K13" s="125">
        <v>0.285</v>
      </c>
      <c r="L13" s="126"/>
      <c r="M13" s="127"/>
    </row>
    <row r="14" spans="1:13" ht="23.25" customHeight="1">
      <c r="A14" s="41" t="s">
        <v>124</v>
      </c>
      <c r="B14" s="123">
        <f>ИДП!D13</f>
        <v>1.307346161910404</v>
      </c>
      <c r="C14" s="123">
        <f>+ИБР!R14</f>
        <v>1.6108785414676356</v>
      </c>
      <c r="D14" s="124">
        <f t="shared" si="2"/>
        <v>0.8115733919450625</v>
      </c>
      <c r="E14" s="123">
        <f>ИДП!G13</f>
        <v>1.294724853383579</v>
      </c>
      <c r="F14" s="123">
        <f>ИБР!R14</f>
        <v>1.6108785414676356</v>
      </c>
      <c r="G14" s="124">
        <f t="shared" si="0"/>
        <v>0.8037383452907528</v>
      </c>
      <c r="H14" s="123">
        <f>ИДП!J13</f>
        <v>1.2524144552626368</v>
      </c>
      <c r="I14" s="123">
        <f>ИБР!R14</f>
        <v>1.6108785414676356</v>
      </c>
      <c r="J14" s="124">
        <f t="shared" si="1"/>
        <v>0.7774729273639649</v>
      </c>
      <c r="K14" s="125">
        <v>0.281</v>
      </c>
      <c r="L14" s="126"/>
      <c r="M14" s="127"/>
    </row>
    <row r="15" spans="1:12" ht="23.25" customHeight="1">
      <c r="A15" s="103" t="s">
        <v>68</v>
      </c>
      <c r="B15" s="124"/>
      <c r="C15" s="123"/>
      <c r="D15" s="124"/>
      <c r="E15" s="123"/>
      <c r="F15" s="123"/>
      <c r="G15" s="124"/>
      <c r="H15" s="123"/>
      <c r="I15" s="123"/>
      <c r="J15" s="123"/>
      <c r="K15" s="128"/>
      <c r="L15" s="129"/>
    </row>
    <row r="16" spans="1:12" ht="30" customHeight="1">
      <c r="A16" s="130" t="s">
        <v>90</v>
      </c>
      <c r="B16" s="131"/>
      <c r="C16" s="131"/>
      <c r="D16" s="132">
        <f>(D14+D12+D13+D10)/4</f>
        <v>0.6018386791730689</v>
      </c>
      <c r="E16" s="131"/>
      <c r="F16" s="131"/>
      <c r="G16" s="132">
        <f>(G12+G10)/2</f>
        <v>0.6040051190290783</v>
      </c>
      <c r="H16" s="131"/>
      <c r="I16" s="131"/>
      <c r="J16" s="132"/>
      <c r="K16" s="99"/>
      <c r="L16" s="99"/>
    </row>
    <row r="17" spans="1:5" ht="18.75" customHeight="1">
      <c r="A17" s="250"/>
      <c r="B17" s="250"/>
      <c r="C17" s="250"/>
      <c r="D17" s="131"/>
      <c r="E17" s="133"/>
    </row>
  </sheetData>
  <sheetProtection/>
  <mergeCells count="6">
    <mergeCell ref="A2:J2"/>
    <mergeCell ref="H4:J4"/>
    <mergeCell ref="A17:C17"/>
    <mergeCell ref="B4:D4"/>
    <mergeCell ref="E4:G4"/>
    <mergeCell ref="A4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9.00390625" defaultRowHeight="12.75"/>
  <cols>
    <col min="1" max="1" width="6.875" style="26" customWidth="1"/>
    <col min="2" max="2" width="26.875" style="26" customWidth="1"/>
    <col min="3" max="14" width="10.375" style="26" customWidth="1"/>
    <col min="15" max="16384" width="9.125" style="26" customWidth="1"/>
  </cols>
  <sheetData>
    <row r="1" s="33" customFormat="1" ht="15.75">
      <c r="M1" s="33" t="s">
        <v>147</v>
      </c>
    </row>
    <row r="2" spans="1:14" s="33" customFormat="1" ht="12.75" customHeight="1">
      <c r="A2" s="256" t="s">
        <v>179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s="33" customFormat="1" ht="33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5" spans="1:14" s="69" customFormat="1" ht="25.5" customHeight="1">
      <c r="A5" s="257" t="s">
        <v>0</v>
      </c>
      <c r="B5" s="257" t="s">
        <v>1</v>
      </c>
      <c r="C5" s="218" t="s">
        <v>103</v>
      </c>
      <c r="D5" s="218"/>
      <c r="E5" s="218"/>
      <c r="F5" s="218" t="s">
        <v>94</v>
      </c>
      <c r="G5" s="218"/>
      <c r="H5" s="218"/>
      <c r="I5" s="218"/>
      <c r="J5" s="218" t="s">
        <v>99</v>
      </c>
      <c r="K5" s="218"/>
      <c r="L5" s="218"/>
      <c r="M5" s="218"/>
      <c r="N5" s="218"/>
    </row>
    <row r="6" spans="1:15" s="69" customFormat="1" ht="50.25" customHeight="1">
      <c r="A6" s="257"/>
      <c r="B6" s="257"/>
      <c r="C6" s="140" t="s">
        <v>78</v>
      </c>
      <c r="D6" s="141" t="s">
        <v>95</v>
      </c>
      <c r="E6" s="18" t="s">
        <v>96</v>
      </c>
      <c r="F6" s="140" t="s">
        <v>78</v>
      </c>
      <c r="G6" s="141" t="s">
        <v>95</v>
      </c>
      <c r="H6" s="141" t="s">
        <v>93</v>
      </c>
      <c r="I6" s="18" t="s">
        <v>96</v>
      </c>
      <c r="J6" s="140" t="s">
        <v>78</v>
      </c>
      <c r="K6" s="141" t="s">
        <v>95</v>
      </c>
      <c r="L6" s="141" t="s">
        <v>93</v>
      </c>
      <c r="M6" s="141" t="s">
        <v>100</v>
      </c>
      <c r="N6" s="18" t="s">
        <v>96</v>
      </c>
      <c r="O6" s="28"/>
    </row>
    <row r="7" spans="1:14" s="145" customFormat="1" ht="12.75">
      <c r="A7" s="142">
        <v>1</v>
      </c>
      <c r="B7" s="142">
        <v>2</v>
      </c>
      <c r="C7" s="143">
        <v>3</v>
      </c>
      <c r="D7" s="144"/>
      <c r="E7" s="144"/>
      <c r="F7" s="143">
        <v>3</v>
      </c>
      <c r="G7" s="142"/>
      <c r="H7" s="144"/>
      <c r="I7" s="144"/>
      <c r="J7" s="143">
        <v>3</v>
      </c>
      <c r="K7" s="144"/>
      <c r="L7" s="142"/>
      <c r="M7" s="142"/>
      <c r="N7" s="144"/>
    </row>
    <row r="8" spans="1:14" ht="26.25" customHeight="1">
      <c r="A8" s="30">
        <v>1</v>
      </c>
      <c r="B8" s="31" t="s">
        <v>117</v>
      </c>
      <c r="C8" s="4">
        <f>'Налоговый потен'!M7</f>
        <v>11474.679131999503</v>
      </c>
      <c r="D8" s="4">
        <f>'субв от числ уточ'!D6</f>
        <v>2377.4173371929373</v>
      </c>
      <c r="E8" s="4">
        <f>+C8+D8</f>
        <v>13852.09646919244</v>
      </c>
      <c r="F8" s="4">
        <f>+C8</f>
        <v>11474.679131999503</v>
      </c>
      <c r="G8" s="4">
        <f>D8</f>
        <v>2377.4173371929373</v>
      </c>
      <c r="H8" s="4">
        <f>'Дотац 4000'!J6</f>
        <v>0</v>
      </c>
      <c r="I8" s="4">
        <f>F8+G8+H8</f>
        <v>13852.09646919244</v>
      </c>
      <c r="J8" s="4">
        <f>'Налоговый потен'!M7</f>
        <v>11474.679131999503</v>
      </c>
      <c r="K8" s="4">
        <f>'субв от числ уточ'!D6</f>
        <v>2377.4173371929373</v>
      </c>
      <c r="L8" s="4">
        <f>'Дотац 4000'!J6</f>
        <v>0</v>
      </c>
      <c r="M8" s="4">
        <f>'Дотац 4000'!N6</f>
        <v>416.89293301943167</v>
      </c>
      <c r="N8" s="4">
        <f>J8+L8+K8+M8</f>
        <v>14268.989402211871</v>
      </c>
    </row>
    <row r="9" spans="1:14" ht="26.25" customHeight="1">
      <c r="A9" s="30">
        <v>2</v>
      </c>
      <c r="B9" s="31" t="s">
        <v>118</v>
      </c>
      <c r="C9" s="4">
        <f>'Налоговый потен'!M8</f>
        <v>8511.179336884676</v>
      </c>
      <c r="D9" s="4">
        <f>'субв от числ уточ'!D7</f>
        <v>2125.394297914534</v>
      </c>
      <c r="E9" s="4">
        <f aca="true" t="shared" si="0" ref="E9:E15">+C9+D9</f>
        <v>10636.57363479921</v>
      </c>
      <c r="F9" s="4">
        <f aca="true" t="shared" si="1" ref="F9:F15">C9</f>
        <v>8511.179336884676</v>
      </c>
      <c r="G9" s="4">
        <f aca="true" t="shared" si="2" ref="G9:G15">D9</f>
        <v>2125.394297914534</v>
      </c>
      <c r="H9" s="4">
        <f>'Дотац 4000'!J7</f>
        <v>0</v>
      </c>
      <c r="I9" s="4">
        <f aca="true" t="shared" si="3" ref="I9:I15">F9+G9+H9</f>
        <v>10636.57363479921</v>
      </c>
      <c r="J9" s="4">
        <f>'Налоговый потен'!M8</f>
        <v>8511.179336884676</v>
      </c>
      <c r="K9" s="4">
        <f>'субв от числ уточ'!D7</f>
        <v>2125.394297914534</v>
      </c>
      <c r="L9" s="4">
        <f>'Дотац 4000'!J7</f>
        <v>0</v>
      </c>
      <c r="M9" s="4">
        <f>'Дотац 4000'!N7</f>
        <v>500.5625535423888</v>
      </c>
      <c r="N9" s="4">
        <f aca="true" t="shared" si="4" ref="N9:N15">J9+L9+K9+M9</f>
        <v>11137.1361883416</v>
      </c>
    </row>
    <row r="10" spans="1:14" ht="26.25" customHeight="1">
      <c r="A10" s="30">
        <v>3</v>
      </c>
      <c r="B10" s="31" t="s">
        <v>119</v>
      </c>
      <c r="C10" s="4">
        <f>'Налоговый потен'!M9</f>
        <v>5198.1375937572375</v>
      </c>
      <c r="D10" s="4">
        <f>'субв от числ уточ'!D8</f>
        <v>1522.0664160056294</v>
      </c>
      <c r="E10" s="4">
        <f t="shared" si="0"/>
        <v>6720.204009762867</v>
      </c>
      <c r="F10" s="4">
        <f t="shared" si="1"/>
        <v>5198.1375937572375</v>
      </c>
      <c r="G10" s="4">
        <f t="shared" si="2"/>
        <v>1522.0664160056294</v>
      </c>
      <c r="H10" s="4">
        <f>'Дотац 4000'!J8</f>
        <v>220.68629885737965</v>
      </c>
      <c r="I10" s="4">
        <f t="shared" si="3"/>
        <v>6940.890308620246</v>
      </c>
      <c r="J10" s="4">
        <f>'Налоговый потен'!M9</f>
        <v>5198.1375937572375</v>
      </c>
      <c r="K10" s="4">
        <f>'субв от числ уточ'!D8</f>
        <v>1522.0664160056294</v>
      </c>
      <c r="L10" s="4">
        <f>'Дотац 4000'!J8</f>
        <v>220.68629885737965</v>
      </c>
      <c r="M10" s="4">
        <f>'Дотац 4000'!N8</f>
        <v>914.1359941338395</v>
      </c>
      <c r="N10" s="4">
        <f t="shared" si="4"/>
        <v>7855.026302754086</v>
      </c>
    </row>
    <row r="11" spans="1:14" ht="26.25" customHeight="1">
      <c r="A11" s="30">
        <v>4</v>
      </c>
      <c r="B11" s="31" t="s">
        <v>120</v>
      </c>
      <c r="C11" s="4">
        <f>'Налоговый потен'!M10</f>
        <v>2978.9718327424325</v>
      </c>
      <c r="D11" s="4">
        <f>'субв от числ уточ'!D9</f>
        <v>583.8533743283009</v>
      </c>
      <c r="E11" s="4">
        <f t="shared" si="0"/>
        <v>3562.8252070707335</v>
      </c>
      <c r="F11" s="4">
        <f t="shared" si="1"/>
        <v>2978.9718327424325</v>
      </c>
      <c r="G11" s="4">
        <f t="shared" si="2"/>
        <v>583.8533743283009</v>
      </c>
      <c r="H11" s="4">
        <f>'Дотац 4000'!J9</f>
        <v>246.6814950956729</v>
      </c>
      <c r="I11" s="4">
        <f t="shared" si="3"/>
        <v>3809.5067021664063</v>
      </c>
      <c r="J11" s="4">
        <f>'Налоговый потен'!M10</f>
        <v>2978.9718327424325</v>
      </c>
      <c r="K11" s="4">
        <f>'субв от числ уточ'!D9</f>
        <v>583.8533743283009</v>
      </c>
      <c r="L11" s="4">
        <f>'Дотац 4000'!J9</f>
        <v>246.6814950956729</v>
      </c>
      <c r="M11" s="4">
        <f>'Дотац 4000'!N9</f>
        <v>715.7858839395849</v>
      </c>
      <c r="N11" s="4">
        <f t="shared" si="4"/>
        <v>4525.292586105991</v>
      </c>
    </row>
    <row r="12" spans="1:14" ht="26.25" customHeight="1">
      <c r="A12" s="30">
        <v>5</v>
      </c>
      <c r="B12" s="31" t="s">
        <v>121</v>
      </c>
      <c r="C12" s="4">
        <f>'Налоговый потен'!M11</f>
        <v>5951.929929270074</v>
      </c>
      <c r="D12" s="4">
        <f>'субв от числ уточ'!D10</f>
        <v>1515.957666568577</v>
      </c>
      <c r="E12" s="4">
        <f t="shared" si="0"/>
        <v>7467.887595838652</v>
      </c>
      <c r="F12" s="4">
        <f t="shared" si="1"/>
        <v>5951.929929270074</v>
      </c>
      <c r="G12" s="4">
        <f t="shared" si="2"/>
        <v>1515.957666568577</v>
      </c>
      <c r="H12" s="4">
        <f>'Дотац 4000'!J10</f>
        <v>20.92980620249972</v>
      </c>
      <c r="I12" s="4">
        <f t="shared" si="3"/>
        <v>7488.817402041152</v>
      </c>
      <c r="J12" s="4">
        <f>'Налоговый потен'!M11</f>
        <v>5951.929929270074</v>
      </c>
      <c r="K12" s="4">
        <f>'субв от числ уточ'!D10</f>
        <v>1515.957666568577</v>
      </c>
      <c r="L12" s="4">
        <f>'Дотац 4000'!J10</f>
        <v>20.92980620249972</v>
      </c>
      <c r="M12" s="4">
        <f>'Дотац 4000'!N10</f>
        <v>616.0349673280741</v>
      </c>
      <c r="N12" s="4">
        <f t="shared" si="4"/>
        <v>8104.852369369226</v>
      </c>
    </row>
    <row r="13" spans="1:14" ht="26.25" customHeight="1">
      <c r="A13" s="30">
        <v>6</v>
      </c>
      <c r="B13" s="31" t="s">
        <v>122</v>
      </c>
      <c r="C13" s="4">
        <f>'Налоговый потен'!M12</f>
        <v>11463.335352491582</v>
      </c>
      <c r="D13" s="4">
        <f>'субв от числ уточ'!D11</f>
        <v>1735.1404401228249</v>
      </c>
      <c r="E13" s="4">
        <f t="shared" si="0"/>
        <v>13198.475792614407</v>
      </c>
      <c r="F13" s="4">
        <f t="shared" si="1"/>
        <v>11463.335352491582</v>
      </c>
      <c r="G13" s="4">
        <f t="shared" si="2"/>
        <v>1735.1404401228249</v>
      </c>
      <c r="H13" s="4">
        <f>'Дотац 4000'!J11</f>
        <v>0</v>
      </c>
      <c r="I13" s="4">
        <f t="shared" si="3"/>
        <v>13198.475792614407</v>
      </c>
      <c r="J13" s="4">
        <f>'Налоговый потен'!M12</f>
        <v>11463.335352491582</v>
      </c>
      <c r="K13" s="4">
        <f>'субв от числ уточ'!D11</f>
        <v>1735.1404401228249</v>
      </c>
      <c r="L13" s="4">
        <f>'Дотац 4000'!J11</f>
        <v>0</v>
      </c>
      <c r="M13" s="4">
        <f>'Дотац 4000'!N11</f>
        <v>309.7569575639644</v>
      </c>
      <c r="N13" s="4">
        <f t="shared" si="4"/>
        <v>13508.232750178371</v>
      </c>
    </row>
    <row r="14" spans="1:14" ht="30.75" customHeight="1">
      <c r="A14" s="30">
        <v>7</v>
      </c>
      <c r="B14" s="31" t="s">
        <v>123</v>
      </c>
      <c r="C14" s="4">
        <f>'Налоговый потен'!M13</f>
        <v>2723.83046197153</v>
      </c>
      <c r="D14" s="4">
        <f>'субв от числ уточ'!D12</f>
        <v>809.5285504094165</v>
      </c>
      <c r="E14" s="4">
        <f t="shared" si="0"/>
        <v>3533.3590123809463</v>
      </c>
      <c r="F14" s="4">
        <f t="shared" si="1"/>
        <v>2723.83046197153</v>
      </c>
      <c r="G14" s="4">
        <f t="shared" si="2"/>
        <v>809.5285504094165</v>
      </c>
      <c r="H14" s="4">
        <f>'Дотац 4000'!J12</f>
        <v>179.3434093755759</v>
      </c>
      <c r="I14" s="4">
        <f t="shared" si="3"/>
        <v>3712.702421756522</v>
      </c>
      <c r="J14" s="4">
        <f>'Налоговый потен'!M13</f>
        <v>2723.83046197153</v>
      </c>
      <c r="K14" s="4">
        <f>'субв от числ уточ'!D12</f>
        <v>809.5285504094165</v>
      </c>
      <c r="L14" s="4">
        <f>'Дотац 4000'!J12</f>
        <v>179.3434093755759</v>
      </c>
      <c r="M14" s="4">
        <f>'Дотац 4000'!N12</f>
        <v>593.47985166185</v>
      </c>
      <c r="N14" s="4">
        <f t="shared" si="4"/>
        <v>4306.1822734183725</v>
      </c>
    </row>
    <row r="15" spans="1:14" ht="26.25" customHeight="1">
      <c r="A15" s="30">
        <v>8</v>
      </c>
      <c r="B15" s="31" t="s">
        <v>124</v>
      </c>
      <c r="C15" s="4">
        <f>'Налоговый потен'!M14</f>
        <v>8247.936360882966</v>
      </c>
      <c r="D15" s="4">
        <f>'субв от числ уточ'!D13</f>
        <v>1268.8978174577787</v>
      </c>
      <c r="E15" s="4">
        <f t="shared" si="0"/>
        <v>9516.834178340745</v>
      </c>
      <c r="F15" s="4">
        <f t="shared" si="1"/>
        <v>8247.936360882966</v>
      </c>
      <c r="G15" s="4">
        <f t="shared" si="2"/>
        <v>1268.8978174577787</v>
      </c>
      <c r="H15" s="4">
        <f>'Дотац 4000'!J13</f>
        <v>0</v>
      </c>
      <c r="I15" s="4">
        <f t="shared" si="3"/>
        <v>9516.834178340745</v>
      </c>
      <c r="J15" s="4">
        <f>'Налоговый потен'!M14</f>
        <v>8247.936360882966</v>
      </c>
      <c r="K15" s="4">
        <f>'субв от числ уточ'!D13</f>
        <v>1268.8978174577787</v>
      </c>
      <c r="L15" s="4">
        <f>'Дотац 4000'!J13</f>
        <v>0</v>
      </c>
      <c r="M15" s="4">
        <f>'Дотац 4000'!N13</f>
        <v>265.7098492797386</v>
      </c>
      <c r="N15" s="4">
        <f t="shared" si="4"/>
        <v>9782.544027620483</v>
      </c>
    </row>
    <row r="16" spans="1:14" ht="26.25" customHeight="1">
      <c r="A16" s="30"/>
      <c r="B16" s="3" t="s">
        <v>14</v>
      </c>
      <c r="C16" s="10">
        <f aca="true" t="shared" si="5" ref="C16:N16">SUM(C8:C15)</f>
        <v>56550</v>
      </c>
      <c r="D16" s="10">
        <f>SUM(D8:D15)-0.001</f>
        <v>11938.2549</v>
      </c>
      <c r="E16" s="10">
        <f t="shared" si="5"/>
        <v>68488.2559</v>
      </c>
      <c r="F16" s="10">
        <f t="shared" si="5"/>
        <v>56550</v>
      </c>
      <c r="G16" s="10">
        <f>SUM(G8:G15)-0.001</f>
        <v>11938.2549</v>
      </c>
      <c r="H16" s="10">
        <f t="shared" si="5"/>
        <v>667.6410095311282</v>
      </c>
      <c r="I16" s="10">
        <f t="shared" si="5"/>
        <v>69155.89690953113</v>
      </c>
      <c r="J16" s="10">
        <f t="shared" si="5"/>
        <v>56550</v>
      </c>
      <c r="K16" s="10">
        <f>SUM(K8:K15)-0.001</f>
        <v>11938.2549</v>
      </c>
      <c r="L16" s="10">
        <f t="shared" si="5"/>
        <v>667.6410095311282</v>
      </c>
      <c r="M16" s="10">
        <f t="shared" si="5"/>
        <v>4332.358990468872</v>
      </c>
      <c r="N16" s="10">
        <f t="shared" si="5"/>
        <v>73488.2559</v>
      </c>
    </row>
    <row r="17" spans="2:10" ht="12.75">
      <c r="B17" s="146"/>
      <c r="C17" s="147"/>
      <c r="F17" s="147"/>
      <c r="J17" s="147"/>
    </row>
    <row r="18" ht="12.75">
      <c r="B18" s="148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6.00390625" style="37" customWidth="1"/>
    <col min="2" max="10" width="13.125" style="37" customWidth="1"/>
    <col min="11" max="16384" width="9.125" style="37" customWidth="1"/>
  </cols>
  <sheetData>
    <row r="1" s="15" customFormat="1" ht="15.75">
      <c r="J1" s="15" t="s">
        <v>148</v>
      </c>
    </row>
    <row r="2" spans="1:10" s="15" customFormat="1" ht="68.25" customHeight="1">
      <c r="A2" s="258" t="s">
        <v>180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s="15" customFormat="1" ht="24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1" s="51" customFormat="1" ht="34.5" customHeight="1">
      <c r="A4" s="259" t="s">
        <v>1</v>
      </c>
      <c r="B4" s="241" t="s">
        <v>104</v>
      </c>
      <c r="C4" s="241"/>
      <c r="D4" s="241"/>
      <c r="E4" s="241" t="s">
        <v>114</v>
      </c>
      <c r="F4" s="241"/>
      <c r="G4" s="241"/>
      <c r="H4" s="241" t="s">
        <v>111</v>
      </c>
      <c r="I4" s="241"/>
      <c r="J4" s="241"/>
      <c r="K4" s="53"/>
    </row>
    <row r="5" spans="1:10" s="51" customFormat="1" ht="87.75" customHeight="1">
      <c r="A5" s="259"/>
      <c r="B5" s="49" t="s">
        <v>73</v>
      </c>
      <c r="C5" s="49" t="s">
        <v>76</v>
      </c>
      <c r="D5" s="149" t="s">
        <v>77</v>
      </c>
      <c r="E5" s="49" t="s">
        <v>73</v>
      </c>
      <c r="F5" s="49" t="s">
        <v>76</v>
      </c>
      <c r="G5" s="149" t="s">
        <v>77</v>
      </c>
      <c r="H5" s="49" t="s">
        <v>73</v>
      </c>
      <c r="I5" s="49" t="s">
        <v>76</v>
      </c>
      <c r="J5" s="149" t="s">
        <v>77</v>
      </c>
    </row>
    <row r="6" spans="1:10" ht="30" customHeight="1">
      <c r="A6" s="41" t="s">
        <v>117</v>
      </c>
      <c r="B6" s="92">
        <f>'субв от числ уточ'!C6</f>
        <v>6226</v>
      </c>
      <c r="C6" s="202">
        <f>+ДП!E8</f>
        <v>13852.09646919244</v>
      </c>
      <c r="D6" s="150">
        <f>(C6/B6)/(C14/B14)</f>
        <v>1.0156283761926639</v>
      </c>
      <c r="E6" s="202">
        <f>B6</f>
        <v>6226</v>
      </c>
      <c r="F6" s="202">
        <f>ДП!I8</f>
        <v>13852.09646919244</v>
      </c>
      <c r="G6" s="150">
        <f>(F6/E6)/(F14/E14)</f>
        <v>1.0058233532706595</v>
      </c>
      <c r="H6" s="202">
        <f>'Коэф.масшт.'!C5</f>
        <v>6226</v>
      </c>
      <c r="I6" s="202">
        <f>ДП!N8</f>
        <v>14268.989402211871</v>
      </c>
      <c r="J6" s="150">
        <f>(I6/H6)/(I14/H14)</f>
        <v>0.9750136610943997</v>
      </c>
    </row>
    <row r="7" spans="1:10" ht="24" customHeight="1">
      <c r="A7" s="41" t="s">
        <v>118</v>
      </c>
      <c r="B7" s="92">
        <f>'субв от числ уточ'!C7</f>
        <v>5566</v>
      </c>
      <c r="C7" s="202">
        <f>+ДП!E9</f>
        <v>10636.57363479921</v>
      </c>
      <c r="D7" s="150">
        <f>(C7/B7)/(C14/B14)</f>
        <v>0.8723424050101375</v>
      </c>
      <c r="E7" s="202">
        <f aca="true" t="shared" si="0" ref="E7:E13">B7</f>
        <v>5566</v>
      </c>
      <c r="F7" s="202">
        <f>ДП!I9</f>
        <v>10636.57363479921</v>
      </c>
      <c r="G7" s="150">
        <f>(F7/E7)/(F14/E14)</f>
        <v>0.863920685533349</v>
      </c>
      <c r="H7" s="202">
        <f>'Коэф.масшт.'!C6</f>
        <v>5566</v>
      </c>
      <c r="I7" s="202">
        <f>ДП!N9</f>
        <v>11137.1361883416</v>
      </c>
      <c r="J7" s="150">
        <f>(I7/H7)/(I14/H14)</f>
        <v>0.8512496180366939</v>
      </c>
    </row>
    <row r="8" spans="1:10" ht="26.25" customHeight="1">
      <c r="A8" s="41" t="s">
        <v>119</v>
      </c>
      <c r="B8" s="92">
        <f>'субв от числ уточ'!C8</f>
        <v>3986</v>
      </c>
      <c r="C8" s="202">
        <f>+ДП!E10</f>
        <v>6720.204009762867</v>
      </c>
      <c r="D8" s="150">
        <f>(C8/B8)/(C14/B14)</f>
        <v>0.769615132421189</v>
      </c>
      <c r="E8" s="202">
        <f t="shared" si="0"/>
        <v>3986</v>
      </c>
      <c r="F8" s="202">
        <f>ДП!I10</f>
        <v>6940.890308620246</v>
      </c>
      <c r="G8" s="150">
        <f>(F8/E8)/(F14/E14)</f>
        <v>0.7872147275495327</v>
      </c>
      <c r="H8" s="202">
        <f>'Коэф.масшт.'!C7</f>
        <v>3986</v>
      </c>
      <c r="I8" s="202">
        <f>ДП!N10</f>
        <v>7855.026302754086</v>
      </c>
      <c r="J8" s="150">
        <f>(I8/H8)/(I14/H14)</f>
        <v>0.8383723583615977</v>
      </c>
    </row>
    <row r="9" spans="1:10" ht="29.25" customHeight="1">
      <c r="A9" s="41" t="s">
        <v>120</v>
      </c>
      <c r="B9" s="92">
        <f>'субв от числ уточ'!C9</f>
        <v>1529</v>
      </c>
      <c r="C9" s="202">
        <f>+ДП!E11</f>
        <v>3562.8252070707335</v>
      </c>
      <c r="D9" s="150">
        <f>(C9/B9)/(C14/B14)</f>
        <v>1.0636909547671303</v>
      </c>
      <c r="E9" s="202">
        <f t="shared" si="0"/>
        <v>1529</v>
      </c>
      <c r="F9" s="202">
        <f>ДП!I11</f>
        <v>3809.5067021664063</v>
      </c>
      <c r="G9" s="150">
        <f>(F9/E9)/(F14/E14)</f>
        <v>1.1263583433488182</v>
      </c>
      <c r="H9" s="202">
        <f>'Коэф.масшт.'!C8</f>
        <v>1529</v>
      </c>
      <c r="I9" s="202">
        <f>ДП!N11</f>
        <v>4525.292586105991</v>
      </c>
      <c r="J9" s="150">
        <f>(I9/H9)/(I14/H14)</f>
        <v>1.2591161091340037</v>
      </c>
    </row>
    <row r="10" spans="1:10" ht="25.5" customHeight="1">
      <c r="A10" s="41" t="s">
        <v>121</v>
      </c>
      <c r="B10" s="92">
        <f>'субв от числ уточ'!C10</f>
        <v>3970</v>
      </c>
      <c r="C10" s="202">
        <f>+ДП!E12</f>
        <v>7467.887595838652</v>
      </c>
      <c r="D10" s="150">
        <f>(C10/B10)/(C14/B14)</f>
        <v>0.8586886074759733</v>
      </c>
      <c r="E10" s="202">
        <f t="shared" si="0"/>
        <v>3970</v>
      </c>
      <c r="F10" s="202">
        <f>ДП!I12</f>
        <v>7488.817402041152</v>
      </c>
      <c r="G10" s="150">
        <f>(F10/E10)/(F14/E14)</f>
        <v>0.8527820658044809</v>
      </c>
      <c r="H10" s="202">
        <f>'Коэф.масшт.'!C9</f>
        <v>3970</v>
      </c>
      <c r="I10" s="202">
        <f>ДП!N12</f>
        <v>8104.852369369226</v>
      </c>
      <c r="J10" s="150">
        <f>(I10/H10)/(I14/H14)</f>
        <v>0.8685227592932196</v>
      </c>
    </row>
    <row r="11" spans="1:10" ht="27.75" customHeight="1">
      <c r="A11" s="41" t="s">
        <v>122</v>
      </c>
      <c r="B11" s="92">
        <f>'субв от числ уточ'!C11</f>
        <v>4544</v>
      </c>
      <c r="C11" s="202">
        <f>+ДП!E13</f>
        <v>13198.475792614407</v>
      </c>
      <c r="D11" s="150">
        <f>(C11/B11)/(C14/B14)</f>
        <v>1.3259095320850778</v>
      </c>
      <c r="E11" s="202">
        <f t="shared" si="0"/>
        <v>4544</v>
      </c>
      <c r="F11" s="202">
        <f>ДП!I13</f>
        <v>13198.475792614407</v>
      </c>
      <c r="G11" s="150">
        <f>(F11/E11)/(F14/E14)</f>
        <v>1.3131090101034704</v>
      </c>
      <c r="H11" s="202">
        <f>'Коэф.масшт.'!C10</f>
        <v>4544</v>
      </c>
      <c r="I11" s="202">
        <f>ДП!N13</f>
        <v>13508.232750178371</v>
      </c>
      <c r="J11" s="150">
        <f>(I11/H11)/(I14/H14)</f>
        <v>1.2646979482501661</v>
      </c>
    </row>
    <row r="12" spans="1:10" ht="25.5" customHeight="1">
      <c r="A12" s="41" t="s">
        <v>123</v>
      </c>
      <c r="B12" s="92">
        <f>'субв от числ уточ'!C12</f>
        <v>2120</v>
      </c>
      <c r="C12" s="202">
        <f>+ДП!E14</f>
        <v>3533.3590123809463</v>
      </c>
      <c r="D12" s="150">
        <f>(C12/B12)/(C14/B14)</f>
        <v>0.7608172331913974</v>
      </c>
      <c r="E12" s="202">
        <f t="shared" si="0"/>
        <v>2120</v>
      </c>
      <c r="F12" s="202">
        <f>ДП!I14</f>
        <v>3712.702421756522</v>
      </c>
      <c r="G12" s="150">
        <f>(F12/E12)/(F14/E14)</f>
        <v>0.7917163325084327</v>
      </c>
      <c r="H12" s="202">
        <f>'Коэф.масшт.'!C11</f>
        <v>2120</v>
      </c>
      <c r="I12" s="202">
        <f>ДП!N14</f>
        <v>4306.1822734183725</v>
      </c>
      <c r="J12" s="150">
        <f>(I12/H12)/(I14/H14)</f>
        <v>0.8641380918199202</v>
      </c>
    </row>
    <row r="13" spans="1:10" ht="26.25" customHeight="1">
      <c r="A13" s="41" t="s">
        <v>124</v>
      </c>
      <c r="B13" s="92">
        <f>'субв от числ уточ'!C13</f>
        <v>3323</v>
      </c>
      <c r="C13" s="202">
        <f>+ДП!E15</f>
        <v>9516.834178340745</v>
      </c>
      <c r="D13" s="150">
        <f>(C13/B13)/(C14/B14)</f>
        <v>1.307346161910404</v>
      </c>
      <c r="E13" s="202">
        <f t="shared" si="0"/>
        <v>3323</v>
      </c>
      <c r="F13" s="202">
        <f>ДП!I15</f>
        <v>9516.834178340745</v>
      </c>
      <c r="G13" s="150">
        <f>(F13/E13)/(F14/E14)</f>
        <v>1.294724853383579</v>
      </c>
      <c r="H13" s="202">
        <f>'Коэф.масшт.'!C12</f>
        <v>3323</v>
      </c>
      <c r="I13" s="202">
        <f>ДП!N15</f>
        <v>9782.544027620483</v>
      </c>
      <c r="J13" s="150">
        <f>(I13/H13)/(I14/H14)</f>
        <v>1.2524144552626368</v>
      </c>
    </row>
    <row r="14" spans="1:10" ht="18.75" customHeight="1">
      <c r="A14" s="44" t="s">
        <v>68</v>
      </c>
      <c r="B14" s="93">
        <f>SUM(B6:B13)</f>
        <v>31264</v>
      </c>
      <c r="C14" s="203">
        <f>SUM(C6:C13)</f>
        <v>68488.2559</v>
      </c>
      <c r="D14" s="203"/>
      <c r="E14" s="203">
        <f>SUM(E6:E13)</f>
        <v>31264</v>
      </c>
      <c r="F14" s="203">
        <f>SUM(F6:F13)</f>
        <v>69155.89690953113</v>
      </c>
      <c r="G14" s="203"/>
      <c r="H14" s="203">
        <f>SUM(H6:H13)</f>
        <v>31264</v>
      </c>
      <c r="I14" s="203">
        <f>SUM(I6:I13)</f>
        <v>73488.2559</v>
      </c>
      <c r="J14" s="203"/>
    </row>
    <row r="16" spans="1:3" ht="18.75" customHeight="1">
      <c r="A16" s="66"/>
      <c r="C16" s="151"/>
    </row>
  </sheetData>
  <sheetProtection/>
  <mergeCells count="5">
    <mergeCell ref="A2:J2"/>
    <mergeCell ref="E4:G4"/>
    <mergeCell ref="B4:D4"/>
    <mergeCell ref="H4:J4"/>
    <mergeCell ref="A4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8"/>
  <sheetViews>
    <sheetView zoomScalePageLayoutView="0" workbookViewId="0" topLeftCell="A1">
      <selection activeCell="R2" sqref="R2"/>
    </sheetView>
  </sheetViews>
  <sheetFormatPr defaultColWidth="9.00390625" defaultRowHeight="12.75"/>
  <cols>
    <col min="1" max="1" width="5.625" style="37" customWidth="1"/>
    <col min="2" max="2" width="33.25390625" style="37" customWidth="1"/>
    <col min="3" max="3" width="12.75390625" style="65" customWidth="1"/>
    <col min="4" max="4" width="17.25390625" style="74" customWidth="1"/>
    <col min="5" max="6" width="17.25390625" style="37" customWidth="1"/>
    <col min="7" max="11" width="15.375" style="37" hidden="1" customWidth="1"/>
    <col min="12" max="13" width="0" style="37" hidden="1" customWidth="1"/>
    <col min="14" max="14" width="9.125" style="37" customWidth="1"/>
    <col min="15" max="15" width="12.00390625" style="37" bestFit="1" customWidth="1"/>
    <col min="16" max="17" width="12.125" style="37" bestFit="1" customWidth="1"/>
    <col min="18" max="18" width="20.125" style="37" customWidth="1"/>
    <col min="19" max="20" width="17.00390625" style="37" bestFit="1" customWidth="1"/>
    <col min="21" max="16384" width="9.125" style="37" customWidth="1"/>
  </cols>
  <sheetData>
    <row r="1" spans="3:6" s="15" customFormat="1" ht="15.75">
      <c r="C1" s="161"/>
      <c r="D1" s="106"/>
      <c r="F1" s="15" t="s">
        <v>149</v>
      </c>
    </row>
    <row r="2" spans="1:10" s="15" customFormat="1" ht="49.5" customHeight="1">
      <c r="A2" s="260" t="s">
        <v>181</v>
      </c>
      <c r="B2" s="260"/>
      <c r="C2" s="260"/>
      <c r="D2" s="260"/>
      <c r="E2" s="260"/>
      <c r="F2" s="260"/>
      <c r="G2" s="48"/>
      <c r="H2" s="48"/>
      <c r="I2" s="48"/>
      <c r="J2" s="48"/>
    </row>
    <row r="3" spans="1:4" ht="12.75">
      <c r="A3" s="153"/>
      <c r="B3" s="153"/>
      <c r="C3" s="154"/>
      <c r="D3" s="155"/>
    </row>
    <row r="5" spans="1:10" s="54" customFormat="1" ht="51.75" customHeight="1">
      <c r="A5" s="52" t="s">
        <v>0</v>
      </c>
      <c r="B5" s="52" t="s">
        <v>1</v>
      </c>
      <c r="C5" s="162" t="s">
        <v>12</v>
      </c>
      <c r="D5" s="163" t="s">
        <v>159</v>
      </c>
      <c r="E5" s="163" t="s">
        <v>160</v>
      </c>
      <c r="F5" s="163" t="s">
        <v>182</v>
      </c>
      <c r="G5" s="164"/>
      <c r="H5" s="164"/>
      <c r="I5" s="164"/>
      <c r="J5" s="164"/>
    </row>
    <row r="6" spans="1:21" ht="24" customHeight="1">
      <c r="A6" s="40">
        <v>1</v>
      </c>
      <c r="B6" s="41" t="s">
        <v>117</v>
      </c>
      <c r="C6" s="58">
        <f>+'Коэф.масшт.'!C5</f>
        <v>6226</v>
      </c>
      <c r="D6" s="201">
        <f>C6*(D14/C14)</f>
        <v>2377.4173371929373</v>
      </c>
      <c r="E6" s="201">
        <f>C6*(E14/C14)</f>
        <v>2472.687245074206</v>
      </c>
      <c r="F6" s="201">
        <f>C6*(F14/C14)</f>
        <v>2472.687245074206</v>
      </c>
      <c r="G6" s="157">
        <v>2297.61784</v>
      </c>
      <c r="H6" s="157">
        <f>+G6-D6</f>
        <v>-79.79949719293745</v>
      </c>
      <c r="I6" s="157">
        <v>2388.76688</v>
      </c>
      <c r="J6" s="157">
        <f>+I6-E6</f>
        <v>-83.92036507420607</v>
      </c>
      <c r="K6" s="157">
        <v>1951.50795</v>
      </c>
      <c r="L6" s="157">
        <f>+K6-F6</f>
        <v>-521.1792950742063</v>
      </c>
      <c r="O6" s="158"/>
      <c r="P6" s="158"/>
      <c r="Q6" s="158"/>
      <c r="R6" s="185"/>
      <c r="S6" s="185"/>
      <c r="T6" s="185"/>
      <c r="U6" s="158"/>
    </row>
    <row r="7" spans="1:21" ht="24" customHeight="1">
      <c r="A7" s="40">
        <v>2</v>
      </c>
      <c r="B7" s="41" t="s">
        <v>118</v>
      </c>
      <c r="C7" s="58">
        <f>+'Коэф.масшт.'!C6</f>
        <v>5566</v>
      </c>
      <c r="D7" s="201">
        <f>C7*D14/C14</f>
        <v>2125.394297914534</v>
      </c>
      <c r="E7" s="201">
        <f>C7*(E14/C14)</f>
        <v>2210.5649222748207</v>
      </c>
      <c r="F7" s="201">
        <f>C7*(F14/C14)</f>
        <v>2210.5649222748207</v>
      </c>
      <c r="G7" s="157">
        <v>2059.88458</v>
      </c>
      <c r="H7" s="157">
        <f aca="true" t="shared" si="0" ref="H7:H14">+G7-D7</f>
        <v>-65.50971791453412</v>
      </c>
      <c r="I7" s="157">
        <v>2141.60248</v>
      </c>
      <c r="J7" s="157">
        <f aca="true" t="shared" si="1" ref="J7:J14">+I7-E7</f>
        <v>-68.96244227482066</v>
      </c>
      <c r="K7" s="157">
        <v>1749.58649</v>
      </c>
      <c r="L7" s="157">
        <f aca="true" t="shared" si="2" ref="L7:L14">+K7-F7</f>
        <v>-460.97843227482076</v>
      </c>
      <c r="O7" s="158"/>
      <c r="P7" s="158"/>
      <c r="Q7" s="158"/>
      <c r="R7" s="185"/>
      <c r="S7" s="185"/>
      <c r="T7" s="185"/>
      <c r="U7" s="158"/>
    </row>
    <row r="8" spans="1:21" ht="24" customHeight="1">
      <c r="A8" s="40">
        <v>3</v>
      </c>
      <c r="B8" s="41" t="s">
        <v>119</v>
      </c>
      <c r="C8" s="58">
        <f>+'Коэф.масшт.'!C7</f>
        <v>3986</v>
      </c>
      <c r="D8" s="201">
        <f>C8*D14/C14</f>
        <v>1522.0664160056294</v>
      </c>
      <c r="E8" s="201">
        <f>C8*(E14/C14)</f>
        <v>1583.0599676944726</v>
      </c>
      <c r="F8" s="201">
        <f>C8*(F14/C14)</f>
        <v>1583.0599676944726</v>
      </c>
      <c r="G8" s="157">
        <v>1473.31128</v>
      </c>
      <c r="H8" s="157">
        <f t="shared" si="0"/>
        <v>-48.75513600562954</v>
      </c>
      <c r="I8" s="157">
        <v>1531.75917</v>
      </c>
      <c r="J8" s="157">
        <f t="shared" si="1"/>
        <v>-51.30079769447252</v>
      </c>
      <c r="K8" s="157">
        <v>1251.37376</v>
      </c>
      <c r="L8" s="157">
        <f t="shared" si="2"/>
        <v>-331.6862076944726</v>
      </c>
      <c r="O8" s="158"/>
      <c r="P8" s="158"/>
      <c r="Q8" s="158"/>
      <c r="R8" s="185"/>
      <c r="S8" s="185"/>
      <c r="T8" s="185"/>
      <c r="U8" s="158"/>
    </row>
    <row r="9" spans="1:21" ht="24" customHeight="1">
      <c r="A9" s="40">
        <v>4</v>
      </c>
      <c r="B9" s="41" t="s">
        <v>120</v>
      </c>
      <c r="C9" s="58">
        <f>+'Коэф.масшт.'!C8</f>
        <v>1529</v>
      </c>
      <c r="D9" s="201">
        <f>C9*D14/C14</f>
        <v>583.8533743283009</v>
      </c>
      <c r="E9" s="201">
        <f>C9*(E14/C14)+0.001</f>
        <v>607.2510478185771</v>
      </c>
      <c r="F9" s="201">
        <f>C9*(F14/C14)+0.000004568+0.001</f>
        <v>607.2510523865772</v>
      </c>
      <c r="G9" s="157">
        <v>588.68962</v>
      </c>
      <c r="H9" s="157">
        <f t="shared" si="0"/>
        <v>4.836245671699089</v>
      </c>
      <c r="I9" s="157">
        <v>612.04359</v>
      </c>
      <c r="J9" s="157">
        <f t="shared" si="1"/>
        <v>4.792542181422846</v>
      </c>
      <c r="K9" s="157">
        <v>500.010249</v>
      </c>
      <c r="L9" s="157">
        <f t="shared" si="2"/>
        <v>-107.24080338657717</v>
      </c>
      <c r="O9" s="158"/>
      <c r="P9" s="158"/>
      <c r="Q9" s="158"/>
      <c r="R9" s="185"/>
      <c r="S9" s="185"/>
      <c r="T9" s="185"/>
      <c r="U9" s="158"/>
    </row>
    <row r="10" spans="1:21" ht="24" customHeight="1">
      <c r="A10" s="40">
        <v>5</v>
      </c>
      <c r="B10" s="41" t="s">
        <v>121</v>
      </c>
      <c r="C10" s="58">
        <f>+'Коэф.масшт.'!C9</f>
        <v>3970</v>
      </c>
      <c r="D10" s="201">
        <f>C10*D14/C14+0.0009</f>
        <v>1515.957666568577</v>
      </c>
      <c r="E10" s="201">
        <f>C10*(E14/C14)</f>
        <v>1576.7054871417604</v>
      </c>
      <c r="F10" s="201">
        <f>C10*(F14/C14)</f>
        <v>1576.7054871417604</v>
      </c>
      <c r="G10" s="157">
        <v>1475.07488</v>
      </c>
      <c r="H10" s="157">
        <f t="shared" si="0"/>
        <v>-40.8827865685771</v>
      </c>
      <c r="I10" s="157">
        <v>1533.59274</v>
      </c>
      <c r="J10" s="157">
        <f t="shared" si="1"/>
        <v>-43.11274714176034</v>
      </c>
      <c r="K10" s="157">
        <v>1252.8717</v>
      </c>
      <c r="L10" s="157">
        <f t="shared" si="2"/>
        <v>-323.83378714176047</v>
      </c>
      <c r="O10" s="158"/>
      <c r="P10" s="158"/>
      <c r="Q10" s="158"/>
      <c r="R10" s="185"/>
      <c r="S10" s="185"/>
      <c r="T10" s="185"/>
      <c r="U10" s="158"/>
    </row>
    <row r="11" spans="1:21" ht="24" customHeight="1">
      <c r="A11" s="40">
        <v>6</v>
      </c>
      <c r="B11" s="41" t="s">
        <v>122</v>
      </c>
      <c r="C11" s="58">
        <f>+'Коэф.масшт.'!C10</f>
        <v>4544</v>
      </c>
      <c r="D11" s="201">
        <f>C11*D14/C14</f>
        <v>1735.1404401228249</v>
      </c>
      <c r="E11" s="201">
        <f>C11*(E14/C14)</f>
        <v>1804.6724769703171</v>
      </c>
      <c r="F11" s="201">
        <f>C11*(F14/C14)</f>
        <v>1804.6724769703171</v>
      </c>
      <c r="G11" s="157">
        <v>1707.16462</v>
      </c>
      <c r="H11" s="157">
        <f t="shared" si="0"/>
        <v>-27.97582012282487</v>
      </c>
      <c r="I11" s="157">
        <v>1774.88973</v>
      </c>
      <c r="J11" s="157">
        <f t="shared" si="1"/>
        <v>-29.78274697031702</v>
      </c>
      <c r="K11" s="157">
        <v>1449.99976</v>
      </c>
      <c r="L11" s="157">
        <f t="shared" si="2"/>
        <v>-354.6727169703172</v>
      </c>
      <c r="O11" s="158"/>
      <c r="P11" s="158"/>
      <c r="Q11" s="158"/>
      <c r="R11" s="185"/>
      <c r="S11" s="185"/>
      <c r="T11" s="185"/>
      <c r="U11" s="158"/>
    </row>
    <row r="12" spans="1:21" ht="24" customHeight="1">
      <c r="A12" s="40">
        <v>7</v>
      </c>
      <c r="B12" s="41" t="s">
        <v>123</v>
      </c>
      <c r="C12" s="58">
        <f>+'Коэф.масшт.'!C11</f>
        <v>2120</v>
      </c>
      <c r="D12" s="201">
        <f>C12*D14/C14</f>
        <v>809.5285504094165</v>
      </c>
      <c r="E12" s="201">
        <f>C12*(E14/C14)</f>
        <v>841.9686732343908</v>
      </c>
      <c r="F12" s="201">
        <f>C12*(F14/C14)</f>
        <v>841.9686732343908</v>
      </c>
      <c r="G12" s="157">
        <v>801.02703</v>
      </c>
      <c r="H12" s="157">
        <f t="shared" si="0"/>
        <v>-8.501520409416571</v>
      </c>
      <c r="I12" s="157">
        <v>832.80466</v>
      </c>
      <c r="J12" s="157">
        <f t="shared" si="1"/>
        <v>-9.164013234390836</v>
      </c>
      <c r="K12" s="157">
        <v>680.361459</v>
      </c>
      <c r="L12" s="157">
        <f t="shared" si="2"/>
        <v>-161.60721423439088</v>
      </c>
      <c r="O12" s="158"/>
      <c r="P12" s="158"/>
      <c r="Q12" s="158"/>
      <c r="R12" s="185"/>
      <c r="S12" s="185"/>
      <c r="T12" s="185"/>
      <c r="U12" s="158"/>
    </row>
    <row r="13" spans="1:21" ht="24" customHeight="1">
      <c r="A13" s="40">
        <v>8</v>
      </c>
      <c r="B13" s="41" t="s">
        <v>124</v>
      </c>
      <c r="C13" s="58">
        <f>+'Коэф.масшт.'!C12</f>
        <v>3323</v>
      </c>
      <c r="D13" s="201">
        <f>C13*D14/C14</f>
        <v>1268.8978174577787</v>
      </c>
      <c r="E13" s="201">
        <f>C13*(E14/C14)</f>
        <v>1319.7461797914532</v>
      </c>
      <c r="F13" s="201">
        <f>C13*(F14/C14)</f>
        <v>1319.7461797914532</v>
      </c>
      <c r="G13" s="157">
        <v>1242.98515</v>
      </c>
      <c r="H13" s="157">
        <f t="shared" si="0"/>
        <v>-25.912667457778753</v>
      </c>
      <c r="I13" s="157">
        <v>1292.29575</v>
      </c>
      <c r="J13" s="157">
        <f t="shared" si="1"/>
        <v>-27.45042979145319</v>
      </c>
      <c r="K13" s="157">
        <v>1055.74363</v>
      </c>
      <c r="L13" s="157">
        <f t="shared" si="2"/>
        <v>-264.00254979145325</v>
      </c>
      <c r="O13" s="158"/>
      <c r="P13" s="158"/>
      <c r="Q13" s="158"/>
      <c r="R13" s="185"/>
      <c r="S13" s="185"/>
      <c r="T13" s="185"/>
      <c r="U13" s="158"/>
    </row>
    <row r="14" spans="1:21" ht="24" customHeight="1">
      <c r="A14" s="40"/>
      <c r="B14" s="44" t="s">
        <v>14</v>
      </c>
      <c r="C14" s="45">
        <f>SUM(C6:C13)</f>
        <v>31264</v>
      </c>
      <c r="D14" s="81">
        <f>11941.5-2.95-0.295</f>
        <v>11938.255</v>
      </c>
      <c r="E14" s="81">
        <f>12419.9-2.95-0.295</f>
        <v>12416.654999999999</v>
      </c>
      <c r="F14" s="81">
        <f>12419.9-2.95-0.295</f>
        <v>12416.654999999999</v>
      </c>
      <c r="G14" s="160">
        <f>SUM(G6:G13)</f>
        <v>11645.755</v>
      </c>
      <c r="H14" s="157">
        <f t="shared" si="0"/>
        <v>-292.5</v>
      </c>
      <c r="I14" s="160">
        <f>SUM(I6:I13)</f>
        <v>12107.755000000001</v>
      </c>
      <c r="J14" s="157">
        <f t="shared" si="1"/>
        <v>-308.8999999999978</v>
      </c>
      <c r="K14" s="160">
        <f>SUM(K6:K13)</f>
        <v>9891.454997999997</v>
      </c>
      <c r="L14" s="157">
        <f t="shared" si="2"/>
        <v>-2525.2000020000014</v>
      </c>
      <c r="O14" s="158"/>
      <c r="P14" s="158"/>
      <c r="Q14" s="158"/>
      <c r="R14" s="185"/>
      <c r="S14" s="185"/>
      <c r="T14" s="185"/>
      <c r="U14" s="158"/>
    </row>
    <row r="15" spans="2:4" ht="12.75">
      <c r="B15" s="39"/>
      <c r="D15" s="151"/>
    </row>
    <row r="16" spans="2:6" ht="12.75" hidden="1">
      <c r="B16" s="39"/>
      <c r="C16" s="39"/>
      <c r="D16" s="159">
        <f>2.95+0.295</f>
        <v>3.245</v>
      </c>
      <c r="E16" s="159">
        <f>2.95+0.295</f>
        <v>3.245</v>
      </c>
      <c r="F16" s="159">
        <f>2.95+0.295</f>
        <v>3.245</v>
      </c>
    </row>
    <row r="17" ht="12.75" hidden="1"/>
    <row r="18" spans="4:6" ht="12.75" hidden="1">
      <c r="D18" s="159">
        <f>+D14+D16</f>
        <v>11941.5</v>
      </c>
      <c r="E18" s="159">
        <f>+E14+E16</f>
        <v>12419.9</v>
      </c>
      <c r="F18" s="159">
        <f>+F14+F16</f>
        <v>12419.9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Пользователь</cp:lastModifiedBy>
  <cp:lastPrinted>2021-10-14T11:46:22Z</cp:lastPrinted>
  <dcterms:created xsi:type="dcterms:W3CDTF">2005-11-18T06:27:58Z</dcterms:created>
  <dcterms:modified xsi:type="dcterms:W3CDTF">2021-11-15T05:23:47Z</dcterms:modified>
  <cp:category/>
  <cp:version/>
  <cp:contentType/>
  <cp:contentStatus/>
</cp:coreProperties>
</file>